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100" windowHeight="10380"/>
  </bookViews>
  <sheets>
    <sheet name=" 5-11 кл" sheetId="1" r:id="rId1"/>
  </sheets>
  <definedNames>
    <definedName name="_xlnm.Print_Area" localSheetId="0">' 5-11 кл'!$A$1:$X$187</definedName>
  </definedNames>
  <calcPr calcId="145621"/>
</workbook>
</file>

<file path=xl/calcChain.xml><?xml version="1.0" encoding="utf-8"?>
<calcChain xmlns="http://schemas.openxmlformats.org/spreadsheetml/2006/main">
  <c r="V167" i="1" l="1"/>
  <c r="M167" i="1"/>
  <c r="F167" i="1"/>
  <c r="W165" i="1"/>
  <c r="U165" i="1"/>
  <c r="T165" i="1"/>
  <c r="S165" i="1"/>
  <c r="R165" i="1"/>
  <c r="Q165" i="1"/>
  <c r="P165" i="1"/>
  <c r="O165" i="1"/>
  <c r="O167" i="1" s="1"/>
  <c r="N165" i="1"/>
  <c r="L165" i="1"/>
  <c r="K165" i="1"/>
  <c r="J165" i="1"/>
  <c r="I165" i="1"/>
  <c r="H165" i="1"/>
  <c r="G165" i="1"/>
  <c r="W164" i="1"/>
  <c r="U164" i="1"/>
  <c r="T164" i="1"/>
  <c r="S164" i="1"/>
  <c r="S167" i="1" s="1"/>
  <c r="R164" i="1"/>
  <c r="R167" i="1" s="1"/>
  <c r="Q164" i="1"/>
  <c r="Q167" i="1" s="1"/>
  <c r="P164" i="1"/>
  <c r="O164" i="1"/>
  <c r="N164" i="1"/>
  <c r="L164" i="1"/>
  <c r="L167" i="1" s="1"/>
  <c r="K164" i="1"/>
  <c r="K167" i="1" s="1"/>
  <c r="J164" i="1"/>
  <c r="J167" i="1" s="1"/>
  <c r="I164" i="1"/>
  <c r="H164" i="1"/>
  <c r="G164" i="1"/>
  <c r="V152" i="1"/>
  <c r="M152" i="1"/>
  <c r="F152" i="1"/>
  <c r="W150" i="1"/>
  <c r="U150" i="1"/>
  <c r="T150" i="1"/>
  <c r="S150" i="1"/>
  <c r="S152" i="1" s="1"/>
  <c r="R150" i="1"/>
  <c r="Q150" i="1"/>
  <c r="P150" i="1"/>
  <c r="O150" i="1"/>
  <c r="N150" i="1"/>
  <c r="L150" i="1"/>
  <c r="L152" i="1" s="1"/>
  <c r="K150" i="1"/>
  <c r="J150" i="1"/>
  <c r="I150" i="1"/>
  <c r="H150" i="1"/>
  <c r="G150" i="1"/>
  <c r="W149" i="1"/>
  <c r="W152" i="1" s="1"/>
  <c r="U149" i="1"/>
  <c r="T149" i="1"/>
  <c r="S149" i="1"/>
  <c r="R149" i="1"/>
  <c r="R152" i="1" s="1"/>
  <c r="Q149" i="1"/>
  <c r="P149" i="1"/>
  <c r="P152" i="1" s="1"/>
  <c r="O149" i="1"/>
  <c r="N149" i="1"/>
  <c r="L149" i="1"/>
  <c r="K149" i="1"/>
  <c r="J149" i="1"/>
  <c r="I149" i="1"/>
  <c r="I152" i="1" s="1"/>
  <c r="H149" i="1"/>
  <c r="G149" i="1"/>
  <c r="V138" i="1"/>
  <c r="M138" i="1"/>
  <c r="F138" i="1"/>
  <c r="W136" i="1"/>
  <c r="U136" i="1"/>
  <c r="T136" i="1"/>
  <c r="S136" i="1"/>
  <c r="R136" i="1"/>
  <c r="Q136" i="1"/>
  <c r="P136" i="1"/>
  <c r="O136" i="1"/>
  <c r="N136" i="1"/>
  <c r="L136" i="1"/>
  <c r="K136" i="1"/>
  <c r="J136" i="1"/>
  <c r="I136" i="1"/>
  <c r="H136" i="1"/>
  <c r="G136" i="1"/>
  <c r="W135" i="1"/>
  <c r="U135" i="1"/>
  <c r="U138" i="1" s="1"/>
  <c r="T135" i="1"/>
  <c r="S135" i="1"/>
  <c r="S138" i="1" s="1"/>
  <c r="R135" i="1"/>
  <c r="Q135" i="1"/>
  <c r="P135" i="1"/>
  <c r="O135" i="1"/>
  <c r="N135" i="1"/>
  <c r="L135" i="1"/>
  <c r="L138" i="1" s="1"/>
  <c r="K135" i="1"/>
  <c r="J135" i="1"/>
  <c r="I135" i="1"/>
  <c r="H135" i="1"/>
  <c r="G135" i="1"/>
  <c r="V121" i="1"/>
  <c r="M121" i="1"/>
  <c r="F121" i="1"/>
  <c r="W119" i="1"/>
  <c r="U119" i="1"/>
  <c r="T119" i="1"/>
  <c r="S119" i="1"/>
  <c r="R119" i="1"/>
  <c r="Q119" i="1"/>
  <c r="P119" i="1"/>
  <c r="O119" i="1"/>
  <c r="N119" i="1"/>
  <c r="L119" i="1"/>
  <c r="K119" i="1"/>
  <c r="J119" i="1"/>
  <c r="I119" i="1"/>
  <c r="I121" i="1" s="1"/>
  <c r="H119" i="1"/>
  <c r="G119" i="1"/>
  <c r="W118" i="1"/>
  <c r="U118" i="1"/>
  <c r="T118" i="1"/>
  <c r="T121" i="1" s="1"/>
  <c r="S118" i="1"/>
  <c r="S121" i="1" s="1"/>
  <c r="R118" i="1"/>
  <c r="R121" i="1" s="1"/>
  <c r="Q118" i="1"/>
  <c r="P118" i="1"/>
  <c r="O118" i="1"/>
  <c r="N118" i="1"/>
  <c r="N121" i="1" s="1"/>
  <c r="L118" i="1"/>
  <c r="K118" i="1"/>
  <c r="J118" i="1"/>
  <c r="I118" i="1"/>
  <c r="H118" i="1"/>
  <c r="G118" i="1"/>
  <c r="G121" i="1" s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V92" i="1"/>
  <c r="M92" i="1"/>
  <c r="F92" i="1"/>
  <c r="W90" i="1"/>
  <c r="U90" i="1"/>
  <c r="T90" i="1"/>
  <c r="S90" i="1"/>
  <c r="R90" i="1"/>
  <c r="Q90" i="1"/>
  <c r="P90" i="1"/>
  <c r="O90" i="1"/>
  <c r="N90" i="1"/>
  <c r="L90" i="1"/>
  <c r="K90" i="1"/>
  <c r="J90" i="1"/>
  <c r="I90" i="1"/>
  <c r="H90" i="1"/>
  <c r="G90" i="1"/>
  <c r="W89" i="1"/>
  <c r="U89" i="1"/>
  <c r="U92" i="1" s="1"/>
  <c r="T89" i="1"/>
  <c r="S89" i="1"/>
  <c r="R89" i="1"/>
  <c r="Q89" i="1"/>
  <c r="Q92" i="1" s="1"/>
  <c r="P89" i="1"/>
  <c r="O89" i="1"/>
  <c r="N89" i="1"/>
  <c r="L89" i="1"/>
  <c r="K89" i="1"/>
  <c r="J89" i="1"/>
  <c r="J92" i="1" s="1"/>
  <c r="I89" i="1"/>
  <c r="H89" i="1"/>
  <c r="G89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V63" i="1"/>
  <c r="S63" i="1"/>
  <c r="M63" i="1"/>
  <c r="I63" i="1"/>
  <c r="F63" i="1"/>
  <c r="W61" i="1"/>
  <c r="U61" i="1"/>
  <c r="T61" i="1"/>
  <c r="S61" i="1"/>
  <c r="R61" i="1"/>
  <c r="Q61" i="1"/>
  <c r="P61" i="1"/>
  <c r="O61" i="1"/>
  <c r="N61" i="1"/>
  <c r="L61" i="1"/>
  <c r="L63" i="1" s="1"/>
  <c r="K61" i="1"/>
  <c r="J61" i="1"/>
  <c r="I61" i="1"/>
  <c r="H61" i="1"/>
  <c r="G61" i="1"/>
  <c r="W60" i="1"/>
  <c r="W63" i="1" s="1"/>
  <c r="U60" i="1"/>
  <c r="U63" i="1" s="1"/>
  <c r="T60" i="1"/>
  <c r="T63" i="1" s="1"/>
  <c r="S60" i="1"/>
  <c r="R60" i="1"/>
  <c r="Q60" i="1"/>
  <c r="P60" i="1"/>
  <c r="P63" i="1" s="1"/>
  <c r="O60" i="1"/>
  <c r="O63" i="1" s="1"/>
  <c r="N60" i="1"/>
  <c r="N63" i="1" s="1"/>
  <c r="L60" i="1"/>
  <c r="K60" i="1"/>
  <c r="J60" i="1"/>
  <c r="I60" i="1"/>
  <c r="H60" i="1"/>
  <c r="H63" i="1" s="1"/>
  <c r="G60" i="1"/>
  <c r="G63" i="1" s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V33" i="1"/>
  <c r="M33" i="1"/>
  <c r="F33" i="1"/>
  <c r="W29" i="1"/>
  <c r="U29" i="1"/>
  <c r="T29" i="1"/>
  <c r="S29" i="1"/>
  <c r="R29" i="1"/>
  <c r="Q29" i="1"/>
  <c r="P29" i="1"/>
  <c r="O29" i="1"/>
  <c r="O33" i="1" s="1"/>
  <c r="N29" i="1"/>
  <c r="L29" i="1"/>
  <c r="K29" i="1"/>
  <c r="J29" i="1"/>
  <c r="I29" i="1"/>
  <c r="I33" i="1" s="1"/>
  <c r="H29" i="1"/>
  <c r="G29" i="1"/>
  <c r="W28" i="1"/>
  <c r="U28" i="1"/>
  <c r="T28" i="1"/>
  <c r="S28" i="1"/>
  <c r="S33" i="1" s="1"/>
  <c r="R28" i="1"/>
  <c r="R33" i="1" s="1"/>
  <c r="Q28" i="1"/>
  <c r="Q33" i="1" s="1"/>
  <c r="P28" i="1"/>
  <c r="O28" i="1"/>
  <c r="N28" i="1"/>
  <c r="L28" i="1"/>
  <c r="L33" i="1" s="1"/>
  <c r="K28" i="1"/>
  <c r="K33" i="1" s="1"/>
  <c r="J28" i="1"/>
  <c r="J33" i="1" s="1"/>
  <c r="I28" i="1"/>
  <c r="H28" i="1"/>
  <c r="G28" i="1"/>
  <c r="R92" i="1" l="1"/>
  <c r="O121" i="1"/>
  <c r="I138" i="1"/>
  <c r="U33" i="1"/>
  <c r="L92" i="1"/>
  <c r="S92" i="1"/>
  <c r="I92" i="1"/>
  <c r="P121" i="1"/>
  <c r="W121" i="1"/>
  <c r="L121" i="1"/>
  <c r="J138" i="1"/>
  <c r="Q138" i="1"/>
  <c r="G152" i="1"/>
  <c r="N152" i="1"/>
  <c r="T152" i="1"/>
  <c r="U167" i="1"/>
  <c r="K92" i="1"/>
  <c r="O92" i="1"/>
  <c r="H121" i="1"/>
  <c r="U121" i="1"/>
  <c r="R63" i="1"/>
  <c r="K138" i="1"/>
  <c r="R138" i="1"/>
  <c r="O138" i="1"/>
  <c r="H152" i="1"/>
  <c r="O152" i="1"/>
  <c r="U152" i="1"/>
  <c r="I167" i="1"/>
  <c r="G33" i="1"/>
  <c r="N33" i="1"/>
  <c r="T33" i="1"/>
  <c r="J63" i="1"/>
  <c r="Q63" i="1"/>
  <c r="G92" i="1"/>
  <c r="N92" i="1"/>
  <c r="T92" i="1"/>
  <c r="J121" i="1"/>
  <c r="Q121" i="1"/>
  <c r="G138" i="1"/>
  <c r="N138" i="1"/>
  <c r="T138" i="1"/>
  <c r="J152" i="1"/>
  <c r="Q152" i="1"/>
  <c r="G167" i="1"/>
  <c r="N167" i="1"/>
  <c r="T167" i="1"/>
  <c r="H33" i="1"/>
  <c r="K63" i="1"/>
  <c r="H92" i="1"/>
  <c r="K121" i="1"/>
  <c r="H138" i="1"/>
  <c r="K152" i="1"/>
  <c r="H167" i="1"/>
  <c r="P33" i="1"/>
  <c r="W33" i="1"/>
  <c r="P92" i="1"/>
  <c r="W92" i="1"/>
  <c r="P138" i="1"/>
  <c r="W138" i="1"/>
  <c r="P167" i="1"/>
  <c r="W167" i="1"/>
</calcChain>
</file>

<file path=xl/sharedStrings.xml><?xml version="1.0" encoding="utf-8"?>
<sst xmlns="http://schemas.openxmlformats.org/spreadsheetml/2006/main" count="473" uniqueCount="129">
  <si>
    <t>Муниципальное казенное общеобразовательное учреждение средняя образовательная школа № 16 г. Бирюсинска</t>
  </si>
  <si>
    <r>
      <t xml:space="preserve">ул. Ленина 65, город Бирюсинск, Тайшетского района, Иркутской области,665050, тел(839563)7-11-33, e-mail: </t>
    </r>
    <r>
      <rPr>
        <u/>
        <sz val="18"/>
        <color indexed="8"/>
        <rFont val="Times New Roman"/>
        <family val="1"/>
        <charset val="204"/>
      </rPr>
      <t xml:space="preserve">school16_56@mail.ru </t>
    </r>
  </si>
  <si>
    <t>"Утверждаю"</t>
  </si>
  <si>
    <t>Директор МКОУ СОШ № 16 г. Бирюсинска</t>
  </si>
  <si>
    <t>_______________________Мусифулина М.Ш.</t>
  </si>
  <si>
    <t xml:space="preserve"> </t>
  </si>
  <si>
    <t>"___" _________________2023 г.</t>
  </si>
  <si>
    <t>Сезон осенне-зимний</t>
  </si>
  <si>
    <t xml:space="preserve">          Неделя 1            день 1</t>
  </si>
  <si>
    <t>Т/К</t>
  </si>
  <si>
    <t>Наименование сборника</t>
  </si>
  <si>
    <t>Наименование блюда</t>
  </si>
  <si>
    <t>Выход,г</t>
  </si>
  <si>
    <t>Пищевые вещества</t>
  </si>
  <si>
    <t>к/кал</t>
  </si>
  <si>
    <t>Витамины (В1,В2,рр- в мг, А- мкг рет. Экв)</t>
  </si>
  <si>
    <t>Минералы (Na,Ca,K,Mg,P,Fe - в мг, I,Se - в мкг)</t>
  </si>
  <si>
    <t>Белки</t>
  </si>
  <si>
    <t>Жиры</t>
  </si>
  <si>
    <t>Углеводы</t>
  </si>
  <si>
    <t>B1</t>
  </si>
  <si>
    <t>B2</t>
  </si>
  <si>
    <t>A</t>
  </si>
  <si>
    <t>PP</t>
  </si>
  <si>
    <t>C</t>
  </si>
  <si>
    <t>Na</t>
  </si>
  <si>
    <t>К</t>
  </si>
  <si>
    <t>Са</t>
  </si>
  <si>
    <t>Mg</t>
  </si>
  <si>
    <t>P</t>
  </si>
  <si>
    <t>Fe</t>
  </si>
  <si>
    <t>I</t>
  </si>
  <si>
    <t>Se</t>
  </si>
  <si>
    <t>Обед</t>
  </si>
  <si>
    <t>54-9з-2020</t>
  </si>
  <si>
    <t>СБОРНИК ТИПОВЫХ МЕНЮ И РЕЦЕПТУР
БЛЮД ДЛЯ ОРГАНИЗАЦИИ ПИТАНИЯ ДЕТЕЙ ШКОЛЬНОГО ВОЗРАСТА
В ОРГАНИЗАЦИЯХ С КРУГЛОСУТОЧНЫМ РЕЖИМОМ ПРЕБЫВАНИЯ И
ИНЫМИ РЕЖИМАМИ ФУНКЦИОНИРОВАНИЯ</t>
  </si>
  <si>
    <t>Салат из белокачанной капусты с морковью и яблоками</t>
  </si>
  <si>
    <t>54-3г-2020</t>
  </si>
  <si>
    <t>Макароны отварные с сыром</t>
  </si>
  <si>
    <t>Пром.</t>
  </si>
  <si>
    <t>Хлеб пшеничный пром. производства</t>
  </si>
  <si>
    <t>Хлеб ржаной промышленного производства</t>
  </si>
  <si>
    <t>54-9гн-2020</t>
  </si>
  <si>
    <t>Кофейный напиток с молоком</t>
  </si>
  <si>
    <t>Ватрушка с повидлом пром. производства</t>
  </si>
  <si>
    <t>Сок фруктовый в индивидуальной упаковке, 200 гр.</t>
  </si>
  <si>
    <t>ИТОГО за обед:</t>
  </si>
  <si>
    <t>Сезон  осенне-зимний</t>
  </si>
  <si>
    <t xml:space="preserve">          Неделя 1              день 2</t>
  </si>
  <si>
    <t>Ca</t>
  </si>
  <si>
    <t>54-20з-2020</t>
  </si>
  <si>
    <t>СБОРНИК РЕЦЕПТУР БЛЮД И ТИПОВЫХ МЕНЮ ДЛЯ ОРГАНИЗАЦИИ ПИТАНИЯ ДЕТЕЙ ШКОЛЬНОГО ВОЗРАСТА, МОСКВА-2021</t>
  </si>
  <si>
    <t>Горошек зеленый</t>
  </si>
  <si>
    <t>54-11г-2020</t>
  </si>
  <si>
    <t>Картофельное пюре</t>
  </si>
  <si>
    <t>54-3соус-2020</t>
  </si>
  <si>
    <t>Соус красный основной</t>
  </si>
  <si>
    <t>54-16м-2020</t>
  </si>
  <si>
    <t>Тефтели из говядины с рисом</t>
  </si>
  <si>
    <t>СБОРНИК ТЕХНОЛОГИЧЕСКИХ НОРМАТИВОВ РЕЦЕПТУР БЛЮД КУЛИНАРНЫХ ИЗДЕЛИЙ ДЛЯ ШКОЛЬНОГО ПИТНИЯ, ПОЛЯКОВСКИЙ Ю.И., УФА  - 2010</t>
  </si>
  <si>
    <t>Кисель "Плодово-ягодный" из концентрата "Приправыч"</t>
  </si>
  <si>
    <t xml:space="preserve">        Неделя 1    день 3</t>
  </si>
  <si>
    <t>Щи из свежей капусты с картофелем</t>
  </si>
  <si>
    <t>54-4г-2020</t>
  </si>
  <si>
    <t>Каша гречневая рассыпчатая</t>
  </si>
  <si>
    <t>54-5м-2020</t>
  </si>
  <si>
    <t>Котлеты из курицы</t>
  </si>
  <si>
    <t>54-2гн-2020</t>
  </si>
  <si>
    <t>Чай черный байховый с сахаром</t>
  </si>
  <si>
    <t>Сезон осенне -зимний</t>
  </si>
  <si>
    <t xml:space="preserve">          Неделя 1   день 4</t>
  </si>
  <si>
    <t>54-5з-2020</t>
  </si>
  <si>
    <t>Салат из свежих помидоров и огурцов</t>
  </si>
  <si>
    <t>54-9м-2020</t>
  </si>
  <si>
    <t>Жаркое по-домашнему c говядиной тушеной</t>
  </si>
  <si>
    <t>Ватрушка с творогом пром. производства</t>
  </si>
  <si>
    <t xml:space="preserve">               Неделя 1   день 5</t>
  </si>
  <si>
    <t>54-7з- 2020</t>
  </si>
  <si>
    <t>Салат из белокачанной капусты</t>
  </si>
  <si>
    <t>Суп картофельный с крупой (пшено)</t>
  </si>
  <si>
    <t>54-6г-2020</t>
  </si>
  <si>
    <t>Рис отварной</t>
  </si>
  <si>
    <t>54-11р-2020</t>
  </si>
  <si>
    <t>Рыба тушеная в томате с овощами(минтай)</t>
  </si>
  <si>
    <t>54-7хн-2020</t>
  </si>
  <si>
    <t>Компот из смеси сухофруктов</t>
  </si>
  <si>
    <t>Неделя 2 день 1</t>
  </si>
  <si>
    <t>54-1г-2020</t>
  </si>
  <si>
    <t>Макароны отварные</t>
  </si>
  <si>
    <t>СБОРНИК РЕЦЕПТУР БЛЮД И КУЛИНАРНЫХ ИЗДЕЛИЙ ДЛЯ ПРЕДПРИЯТИЙ ОБЩЕСТВЕННОГО ПИТАНИЯ</t>
  </si>
  <si>
    <t>Голень куриная в сметанном соусе</t>
  </si>
  <si>
    <t>54-6гн-2020</t>
  </si>
  <si>
    <t>Чай черный байховый с молоком и сахаром</t>
  </si>
  <si>
    <t>Булочка "Дорожная"</t>
  </si>
  <si>
    <t xml:space="preserve">                         Неделя 2 день 2</t>
  </si>
  <si>
    <t>54-16з- 2020</t>
  </si>
  <si>
    <t>Винегрет с растительным маслом</t>
  </si>
  <si>
    <t>54-8г-2020</t>
  </si>
  <si>
    <t>Капуста тушеная</t>
  </si>
  <si>
    <t>54-13хн-2020</t>
  </si>
  <si>
    <t>СБОРНИК РЕЦЕПТУР
БЛЮД И ТИПОВЫХ МЕНЮ  ДЛЯ ОРГАНИЗАЦИИ ПИТАНИЯ ДЕТЕЙ ШКОЛЬНОГО ВОЗРАСТА, МОСКВА-2021</t>
  </si>
  <si>
    <t>Напиток из шиповника</t>
  </si>
  <si>
    <t xml:space="preserve">                        Неделя 2  день 3</t>
  </si>
  <si>
    <t>54-11з-2020</t>
  </si>
  <si>
    <t>Салат из моркови и яблок</t>
  </si>
  <si>
    <t>54-3с- 2020</t>
  </si>
  <si>
    <t>Рассольник " Ленинградский"</t>
  </si>
  <si>
    <t>Котлеты рыбные (минтай)</t>
  </si>
  <si>
    <t>54-5соус-2020</t>
  </si>
  <si>
    <t>Соус молочный натуральный</t>
  </si>
  <si>
    <t xml:space="preserve">                    Неделя 2      день 4</t>
  </si>
  <si>
    <t>54-7з-2020</t>
  </si>
  <si>
    <t>54-8гн-2020</t>
  </si>
  <si>
    <t>Какао с молоком сгущенным</t>
  </si>
  <si>
    <t xml:space="preserve">                  Неделя 2        день 5</t>
  </si>
  <si>
    <t>54-14з-2020</t>
  </si>
  <si>
    <t>Салат из свеклы с курагой и изюмом</t>
  </si>
  <si>
    <t>54-8с -2020</t>
  </si>
  <si>
    <t>Суп картофельный с горохом</t>
  </si>
  <si>
    <t>54-18м-2020</t>
  </si>
  <si>
    <t>Печень говяжья по-строгановски</t>
  </si>
  <si>
    <t>54-3гн-2020</t>
  </si>
  <si>
    <t>Чай черный байховый с лимоном и сахаром</t>
  </si>
  <si>
    <t>Возрастная категория 12-18 лет</t>
  </si>
  <si>
    <t>Возрастная категория 12-18лет</t>
  </si>
  <si>
    <t>Согласно СанПин при приготовлении блюд используется йодированная соль</t>
  </si>
  <si>
    <t>Данное  меню составлено на основании:</t>
  </si>
  <si>
    <t>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ФУНКЦИОНИРОВАНИЯ, НОВОСИБИРСК-2020</t>
  </si>
  <si>
    <t>Перспективное 10-дневное меню обедов для учащихся 5-11 классов в возрастном разрезе  12-18 лет , обучающихся в МКОУ СОШ №  16 г.Бирюсинска в осенне-зимний период 2023-2024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</si>
</sst>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b/>
      <sz val="7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horizontal="right"/>
    </xf>
    <xf numFmtId="0" fontId="9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2" fillId="0" borderId="7" xfId="0" applyNumberFormat="1" applyFont="1" applyFill="1" applyBorder="1" applyAlignment="1" applyProtection="1">
      <alignment horizontal="center"/>
    </xf>
    <xf numFmtId="0" fontId="12" fillId="0" borderId="8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/>
    <xf numFmtId="0" fontId="14" fillId="0" borderId="1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4" fillId="0" borderId="11" xfId="0" applyNumberFormat="1" applyFont="1" applyFill="1" applyBorder="1" applyAlignment="1" applyProtection="1">
      <alignment horizontal="center"/>
    </xf>
    <xf numFmtId="0" fontId="14" fillId="0" borderId="8" xfId="0" applyNumberFormat="1" applyFont="1" applyFill="1" applyBorder="1" applyAlignment="1" applyProtection="1">
      <alignment horizontal="center"/>
    </xf>
    <xf numFmtId="0" fontId="14" fillId="0" borderId="9" xfId="0" applyNumberFormat="1" applyFont="1" applyFill="1" applyBorder="1" applyAlignment="1" applyProtection="1">
      <alignment horizontal="center"/>
    </xf>
    <xf numFmtId="0" fontId="16" fillId="0" borderId="12" xfId="0" applyNumberFormat="1" applyFont="1" applyFill="1" applyBorder="1" applyAlignment="1" applyProtection="1">
      <alignment horizontal="center"/>
    </xf>
    <xf numFmtId="0" fontId="14" fillId="0" borderId="13" xfId="0" applyNumberFormat="1" applyFont="1" applyFill="1" applyBorder="1" applyAlignment="1" applyProtection="1">
      <alignment horizontal="center"/>
    </xf>
    <xf numFmtId="0" fontId="14" fillId="0" borderId="14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7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/>
    <xf numFmtId="0" fontId="14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center"/>
    </xf>
    <xf numFmtId="0" fontId="12" fillId="0" borderId="16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4" fillId="0" borderId="9" xfId="0" applyNumberFormat="1" applyFont="1" applyFill="1" applyBorder="1" applyAlignment="1" applyProtection="1">
      <alignment horizontal="left" vertical="center" wrapText="1"/>
    </xf>
    <xf numFmtId="2" fontId="16" fillId="0" borderId="12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4" fillId="0" borderId="12" xfId="0" applyNumberFormat="1" applyFont="1" applyFill="1" applyBorder="1" applyAlignment="1" applyProtection="1">
      <alignment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5" fillId="0" borderId="12" xfId="0" applyNumberFormat="1" applyFont="1" applyFill="1" applyBorder="1" applyAlignment="1" applyProtection="1">
      <alignment horizontal="center" vertical="center"/>
    </xf>
    <xf numFmtId="2" fontId="23" fillId="0" borderId="12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/>
    <xf numFmtId="0" fontId="17" fillId="0" borderId="12" xfId="0" applyNumberFormat="1" applyFont="1" applyFill="1" applyBorder="1" applyAlignment="1" applyProtection="1"/>
    <xf numFmtId="0" fontId="14" fillId="0" borderId="12" xfId="0" applyNumberFormat="1" applyFont="1" applyFill="1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horizontal="left"/>
    </xf>
    <xf numFmtId="0" fontId="14" fillId="0" borderId="9" xfId="0" applyNumberFormat="1" applyFont="1" applyFill="1" applyBorder="1" applyAlignment="1" applyProtection="1">
      <alignment horizontal="left"/>
    </xf>
    <xf numFmtId="0" fontId="12" fillId="0" borderId="12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0" fillId="0" borderId="0" xfId="0" applyFont="1"/>
    <xf numFmtId="0" fontId="31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17" fillId="0" borderId="18" xfId="0" applyNumberFormat="1" applyFont="1" applyFill="1" applyBorder="1" applyAlignment="1" applyProtection="1"/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8" fillId="0" borderId="12" xfId="0" applyNumberFormat="1" applyFont="1" applyFill="1" applyBorder="1" applyAlignment="1" applyProtection="1">
      <alignment vertical="top" wrapText="1"/>
    </xf>
    <xf numFmtId="2" fontId="16" fillId="0" borderId="12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wrapText="1"/>
    </xf>
    <xf numFmtId="0" fontId="13" fillId="0" borderId="10" xfId="0" applyNumberFormat="1" applyFont="1" applyFill="1" applyBorder="1" applyAlignment="1" applyProtection="1">
      <alignment horizontal="center" wrapText="1"/>
    </xf>
    <xf numFmtId="0" fontId="15" fillId="0" borderId="9" xfId="0" applyNumberFormat="1" applyFont="1" applyFill="1" applyBorder="1" applyAlignment="1" applyProtection="1"/>
    <xf numFmtId="0" fontId="15" fillId="0" borderId="11" xfId="0" applyNumberFormat="1" applyFont="1" applyFill="1" applyBorder="1" applyAlignment="1" applyProtection="1"/>
    <xf numFmtId="0" fontId="15" fillId="0" borderId="10" xfId="0" applyNumberFormat="1" applyFont="1" applyFill="1" applyBorder="1" applyAlignment="1" applyProtection="1"/>
    <xf numFmtId="0" fontId="29" fillId="0" borderId="12" xfId="0" applyNumberFormat="1" applyFont="1" applyFill="1" applyBorder="1" applyAlignment="1" applyProtection="1">
      <alignment horizontal="center"/>
    </xf>
    <xf numFmtId="0" fontId="33" fillId="0" borderId="12" xfId="0" applyNumberFormat="1" applyFont="1" applyFill="1" applyBorder="1" applyAlignment="1" applyProtection="1">
      <alignment vertical="top" wrapText="1"/>
    </xf>
    <xf numFmtId="0" fontId="27" fillId="0" borderId="7" xfId="0" applyNumberFormat="1" applyFont="1" applyFill="1" applyBorder="1" applyAlignment="1" applyProtection="1">
      <alignment horizontal="center" vertical="center" wrapText="1"/>
    </xf>
    <xf numFmtId="0" fontId="27" fillId="0" borderId="9" xfId="0" applyNumberFormat="1" applyFont="1" applyFill="1" applyBorder="1" applyAlignment="1" applyProtection="1">
      <alignment horizontal="center" vertical="center" wrapText="1"/>
    </xf>
    <xf numFmtId="0" fontId="31" fillId="0" borderId="12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6" fillId="0" borderId="19" xfId="0" applyNumberFormat="1" applyFont="1" applyFill="1" applyBorder="1" applyAlignment="1" applyProtection="1"/>
    <xf numFmtId="0" fontId="27" fillId="0" borderId="19" xfId="0" applyNumberFormat="1" applyFont="1" applyFill="1" applyBorder="1" applyAlignment="1" applyProtection="1">
      <alignment vertical="center"/>
    </xf>
    <xf numFmtId="0" fontId="27" fillId="0" borderId="19" xfId="0" applyNumberFormat="1" applyFont="1" applyFill="1" applyBorder="1" applyAlignment="1" applyProtection="1">
      <alignment horizontal="left"/>
    </xf>
    <xf numFmtId="0" fontId="28" fillId="0" borderId="19" xfId="0" applyNumberFormat="1" applyFont="1" applyFill="1" applyBorder="1" applyAlignment="1" applyProtection="1"/>
    <xf numFmtId="0" fontId="29" fillId="0" borderId="19" xfId="0" applyNumberFormat="1" applyFont="1" applyFill="1" applyBorder="1" applyAlignment="1" applyProtection="1">
      <alignment horizontal="center"/>
    </xf>
    <xf numFmtId="0" fontId="31" fillId="0" borderId="19" xfId="0" applyNumberFormat="1" applyFont="1" applyFill="1" applyBorder="1" applyAlignment="1" applyProtection="1">
      <alignment horizontal="center"/>
    </xf>
    <xf numFmtId="0" fontId="29" fillId="0" borderId="19" xfId="0" applyNumberFormat="1" applyFont="1" applyFill="1" applyBorder="1" applyAlignment="1" applyProtection="1"/>
    <xf numFmtId="0" fontId="13" fillId="0" borderId="11" xfId="0" applyNumberFormat="1" applyFont="1" applyFill="1" applyBorder="1" applyAlignment="1" applyProtection="1"/>
    <xf numFmtId="0" fontId="14" fillId="0" borderId="1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3" fillId="0" borderId="10" xfId="0" applyNumberFormat="1" applyFont="1" applyFill="1" applyBorder="1" applyAlignment="1" applyProtection="1"/>
    <xf numFmtId="0" fontId="17" fillId="0" borderId="10" xfId="0" applyNumberFormat="1" applyFont="1" applyFill="1" applyBorder="1" applyAlignment="1" applyProtection="1"/>
    <xf numFmtId="0" fontId="16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2" fontId="16" fillId="0" borderId="12" xfId="0" applyNumberFormat="1" applyFont="1" applyBorder="1" applyAlignment="1">
      <alignment horizontal="center" vertical="center"/>
    </xf>
    <xf numFmtId="0" fontId="17" fillId="0" borderId="0" xfId="0" applyFont="1"/>
    <xf numFmtId="0" fontId="27" fillId="0" borderId="19" xfId="0" applyNumberFormat="1" applyFont="1" applyFill="1" applyBorder="1" applyAlignment="1" applyProtection="1">
      <alignment horizontal="center"/>
    </xf>
    <xf numFmtId="0" fontId="18" fillId="0" borderId="12" xfId="0" applyFont="1" applyBorder="1" applyAlignment="1">
      <alignment vertical="top" wrapText="1"/>
    </xf>
    <xf numFmtId="0" fontId="18" fillId="0" borderId="12" xfId="0" applyFont="1" applyBorder="1" applyAlignment="1">
      <alignment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5" fillId="0" borderId="7" xfId="0" applyNumberFormat="1" applyFont="1" applyFill="1" applyBorder="1" applyAlignment="1" applyProtection="1">
      <alignment horizontal="center"/>
    </xf>
    <xf numFmtId="0" fontId="25" fillId="0" borderId="8" xfId="0" applyNumberFormat="1" applyFont="1" applyFill="1" applyBorder="1" applyAlignment="1" applyProtection="1">
      <alignment horizontal="center"/>
    </xf>
    <xf numFmtId="0" fontId="25" fillId="0" borderId="9" xfId="0" applyNumberFormat="1" applyFont="1" applyFill="1" applyBorder="1" applyAlignment="1" applyProtection="1">
      <alignment horizontal="center"/>
    </xf>
    <xf numFmtId="0" fontId="10" fillId="0" borderId="1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/>
    <xf numFmtId="0" fontId="10" fillId="0" borderId="11" xfId="0" applyNumberFormat="1" applyFont="1" applyFill="1" applyBorder="1" applyAlignment="1" applyProtection="1">
      <alignment horizontal="center"/>
    </xf>
    <xf numFmtId="0" fontId="10" fillId="0" borderId="8" xfId="0" applyNumberFormat="1" applyFont="1" applyFill="1" applyBorder="1" applyAlignment="1" applyProtection="1">
      <alignment horizontal="center"/>
    </xf>
    <xf numFmtId="0" fontId="10" fillId="0" borderId="9" xfId="0" applyNumberFormat="1" applyFont="1" applyFill="1" applyBorder="1" applyAlignment="1" applyProtection="1">
      <alignment horizontal="center"/>
    </xf>
    <xf numFmtId="0" fontId="23" fillId="0" borderId="12" xfId="0" applyNumberFormat="1" applyFont="1" applyFill="1" applyBorder="1" applyAlignment="1" applyProtection="1">
      <alignment horizontal="center"/>
    </xf>
    <xf numFmtId="0" fontId="10" fillId="0" borderId="13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25" fillId="0" borderId="13" xfId="0" applyNumberFormat="1" applyFont="1" applyFill="1" applyBorder="1" applyAlignment="1" applyProtection="1">
      <alignment horizontal="center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16" xfId="0" applyNumberFormat="1" applyFont="1" applyFill="1" applyBorder="1" applyAlignment="1" applyProtection="1">
      <alignment horizontal="center"/>
    </xf>
    <xf numFmtId="0" fontId="10" fillId="0" borderId="17" xfId="0" applyNumberFormat="1" applyFont="1" applyFill="1" applyBorder="1" applyAlignment="1" applyProtection="1">
      <alignment horizontal="center"/>
    </xf>
    <xf numFmtId="0" fontId="25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center"/>
    </xf>
    <xf numFmtId="0" fontId="25" fillId="0" borderId="12" xfId="0" applyNumberFormat="1" applyFont="1" applyFill="1" applyBorder="1" applyAlignment="1" applyProtection="1">
      <alignment horizontal="center"/>
    </xf>
    <xf numFmtId="0" fontId="36" fillId="0" borderId="12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center"/>
    </xf>
    <xf numFmtId="0" fontId="37" fillId="0" borderId="12" xfId="0" applyNumberFormat="1" applyFont="1" applyFill="1" applyBorder="1" applyAlignment="1" applyProtection="1">
      <alignment wrapText="1"/>
    </xf>
    <xf numFmtId="0" fontId="34" fillId="0" borderId="0" xfId="0" applyNumberFormat="1" applyFont="1" applyFill="1" applyBorder="1" applyAlignment="1" applyProtection="1"/>
    <xf numFmtId="2" fontId="12" fillId="0" borderId="12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17" fillId="0" borderId="19" xfId="0" applyNumberFormat="1" applyFont="1" applyFill="1" applyBorder="1" applyAlignment="1" applyProtection="1"/>
    <xf numFmtId="0" fontId="14" fillId="0" borderId="19" xfId="0" applyNumberFormat="1" applyFont="1" applyFill="1" applyBorder="1" applyAlignment="1" applyProtection="1">
      <alignment vertical="center"/>
    </xf>
    <xf numFmtId="0" fontId="14" fillId="0" borderId="19" xfId="0" applyNumberFormat="1" applyFont="1" applyFill="1" applyBorder="1" applyAlignment="1" applyProtection="1">
      <alignment horizontal="left"/>
    </xf>
    <xf numFmtId="0" fontId="14" fillId="0" borderId="19" xfId="0" applyNumberFormat="1" applyFont="1" applyFill="1" applyBorder="1" applyAlignment="1" applyProtection="1"/>
    <xf numFmtId="0" fontId="12" fillId="0" borderId="12" xfId="0" applyNumberFormat="1" applyFont="1" applyFill="1" applyBorder="1" applyAlignment="1" applyProtection="1">
      <alignment horizontal="center"/>
    </xf>
    <xf numFmtId="0" fontId="12" fillId="0" borderId="12" xfId="0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>
      <alignment horizontal="center"/>
    </xf>
    <xf numFmtId="0" fontId="16" fillId="0" borderId="16" xfId="0" applyNumberFormat="1" applyFont="1" applyFill="1" applyBorder="1" applyAlignment="1" applyProtection="1">
      <alignment horizontal="center"/>
    </xf>
    <xf numFmtId="0" fontId="27" fillId="0" borderId="7" xfId="0" applyNumberFormat="1" applyFont="1" applyFill="1" applyBorder="1" applyAlignment="1" applyProtection="1">
      <alignment horizontal="center" vertical="center"/>
    </xf>
    <xf numFmtId="0" fontId="27" fillId="0" borderId="9" xfId="0" applyNumberFormat="1" applyFont="1" applyFill="1" applyBorder="1" applyAlignment="1" applyProtection="1">
      <alignment horizontal="center" vertical="center"/>
    </xf>
    <xf numFmtId="0" fontId="32" fillId="0" borderId="1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38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vertical="center" wrapText="1"/>
    </xf>
    <xf numFmtId="0" fontId="39" fillId="0" borderId="0" xfId="0" applyNumberFormat="1" applyFont="1" applyFill="1" applyBorder="1" applyAlignment="1" applyProtection="1">
      <alignment horizontal="left" vertical="center" wrapText="1"/>
    </xf>
    <xf numFmtId="0" fontId="40" fillId="0" borderId="0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5"/>
  <sheetViews>
    <sheetView tabSelected="1" topLeftCell="A163" zoomScale="80" zoomScaleNormal="80" workbookViewId="0">
      <selection activeCell="C168" sqref="C168:W170"/>
    </sheetView>
  </sheetViews>
  <sheetFormatPr defaultColWidth="9.140625" defaultRowHeight="15" customHeight="1" x14ac:dyDescent="0.25"/>
  <cols>
    <col min="1" max="1" width="7.140625" style="1" customWidth="1"/>
    <col min="2" max="2" width="8.5703125" style="1" customWidth="1"/>
    <col min="3" max="3" width="33.28515625" style="1" customWidth="1"/>
    <col min="4" max="4" width="9.140625" style="1" customWidth="1"/>
    <col min="5" max="5" width="26" style="1" customWidth="1"/>
    <col min="6" max="6" width="9.140625" style="1" customWidth="1"/>
    <col min="7" max="7" width="9" style="1" customWidth="1"/>
    <col min="8" max="8" width="9.42578125" style="1" customWidth="1"/>
    <col min="9" max="9" width="11" style="1" customWidth="1"/>
    <col min="10" max="10" width="8.5703125" style="1" customWidth="1"/>
    <col min="11" max="11" width="10.140625" style="1" customWidth="1"/>
    <col min="12" max="25" width="9.140625" style="1" customWidth="1"/>
  </cols>
  <sheetData>
    <row r="1" spans="2:23" ht="15" customHeight="1" x14ac:dyDescent="0.25">
      <c r="L1" s="2"/>
      <c r="Q1" s="3"/>
      <c r="R1" s="3"/>
      <c r="S1" s="3"/>
      <c r="T1" s="3"/>
      <c r="U1" s="3"/>
      <c r="V1" s="3"/>
      <c r="W1" s="3"/>
    </row>
    <row r="2" spans="2:23" ht="15" customHeight="1" x14ac:dyDescent="0.2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/>
    </row>
    <row r="3" spans="2:23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2:23" ht="1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</row>
    <row r="5" spans="2:23" ht="1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"/>
    </row>
    <row r="6" spans="2:23" ht="78.75" customHeight="1" x14ac:dyDescent="0.25">
      <c r="C6" s="5" t="s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3"/>
      <c r="S6" s="3"/>
      <c r="T6" s="3"/>
      <c r="U6" s="3"/>
      <c r="V6" s="3"/>
      <c r="W6" s="3"/>
    </row>
    <row r="7" spans="2:23" ht="23.45" customHeight="1" x14ac:dyDescent="0.3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9" t="s">
        <v>2</v>
      </c>
      <c r="R7" s="9"/>
      <c r="S7" s="9"/>
      <c r="T7" s="9"/>
      <c r="U7" s="9"/>
      <c r="V7" s="10"/>
    </row>
    <row r="8" spans="2:23" ht="15" customHeight="1" x14ac:dyDescent="0.35">
      <c r="C8" s="1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9"/>
      <c r="R8" s="9"/>
      <c r="S8" s="9"/>
      <c r="T8" s="9"/>
      <c r="U8" s="9"/>
      <c r="V8" s="10"/>
    </row>
    <row r="9" spans="2:23" ht="23.45" customHeight="1" x14ac:dyDescent="0.35">
      <c r="C9" s="11"/>
      <c r="D9" s="11"/>
      <c r="E9" s="7"/>
      <c r="F9" s="7"/>
      <c r="G9" s="7"/>
      <c r="H9" s="7"/>
      <c r="I9" s="7"/>
      <c r="J9" s="7"/>
      <c r="K9" s="7"/>
      <c r="L9" s="9" t="s">
        <v>3</v>
      </c>
      <c r="M9" s="12"/>
      <c r="N9" s="12"/>
      <c r="O9" s="12"/>
      <c r="P9" s="12"/>
      <c r="Q9" s="12"/>
      <c r="R9" s="12"/>
      <c r="S9" s="12"/>
      <c r="T9" s="12"/>
      <c r="U9" s="12"/>
      <c r="V9" s="10"/>
    </row>
    <row r="10" spans="2:23" ht="23.25" customHeight="1" x14ac:dyDescent="0.25">
      <c r="C10" s="11"/>
      <c r="D10" s="11"/>
      <c r="E10" s="13"/>
      <c r="F10" s="13"/>
      <c r="G10" s="13"/>
      <c r="H10" s="13"/>
      <c r="I10" s="13"/>
      <c r="J10" s="13"/>
      <c r="K10" s="13"/>
      <c r="L10" s="13"/>
      <c r="M10" s="14" t="s">
        <v>4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2:23" ht="19.5" customHeight="1" x14ac:dyDescent="0.25">
      <c r="C11" s="11"/>
      <c r="D11" s="11"/>
      <c r="E11" s="13"/>
      <c r="F11" s="13"/>
      <c r="G11" s="13"/>
      <c r="H11" s="13"/>
      <c r="I11" s="13"/>
      <c r="J11" s="13"/>
      <c r="K11" s="13"/>
      <c r="L11" s="13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2:23" ht="23.25" x14ac:dyDescent="0.35">
      <c r="C12" s="11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8"/>
      <c r="Q12" s="8"/>
      <c r="R12" s="8"/>
      <c r="S12" s="8"/>
      <c r="T12" s="8"/>
      <c r="U12" s="8"/>
      <c r="V12" s="10"/>
    </row>
    <row r="13" spans="2:23" ht="21" customHeight="1" x14ac:dyDescent="0.35">
      <c r="C13" s="11"/>
      <c r="D13" s="11"/>
      <c r="E13" s="13" t="s">
        <v>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6" t="s">
        <v>6</v>
      </c>
      <c r="Q13" s="17"/>
      <c r="R13" s="17"/>
      <c r="S13" s="17"/>
      <c r="T13" s="17"/>
      <c r="U13" s="17"/>
      <c r="V13" s="10"/>
    </row>
    <row r="14" spans="2:23" ht="15.75" x14ac:dyDescent="0.25">
      <c r="C14" s="11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8"/>
      <c r="Q14" s="18"/>
      <c r="R14" s="18"/>
      <c r="S14" s="18"/>
      <c r="T14" s="18"/>
      <c r="U14" s="18"/>
    </row>
    <row r="15" spans="2:23" ht="15.75" x14ac:dyDescent="0.25">
      <c r="C15" s="11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8"/>
      <c r="Q15" s="18"/>
      <c r="R15" s="18"/>
      <c r="S15" s="18"/>
      <c r="T15" s="18"/>
      <c r="U15" s="18"/>
    </row>
    <row r="16" spans="2:23" ht="16.5" thickBot="1" x14ac:dyDescent="0.3">
      <c r="C16" s="11"/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8"/>
      <c r="U16" s="18"/>
    </row>
    <row r="17" spans="1:25" ht="15.75" customHeight="1" x14ac:dyDescent="0.25">
      <c r="C17" s="19" t="s">
        <v>128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</row>
    <row r="18" spans="1:25" ht="72.75" customHeight="1" thickBot="1" x14ac:dyDescent="0.3"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</row>
    <row r="19" spans="1:25" ht="15.75" x14ac:dyDescent="0.25">
      <c r="C19" s="11"/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25" ht="15.75" x14ac:dyDescent="0.25">
      <c r="C20" s="11"/>
      <c r="D20" s="1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X20"/>
      <c r="Y20"/>
    </row>
    <row r="21" spans="1:25" s="31" customFormat="1" ht="15.75" x14ac:dyDescent="0.25">
      <c r="A21" s="1"/>
      <c r="B21" s="131" t="s">
        <v>7</v>
      </c>
      <c r="C21" s="132"/>
      <c r="D21" s="132"/>
      <c r="E21" s="133"/>
      <c r="F21" s="13"/>
      <c r="G21" s="13"/>
      <c r="H21" s="13"/>
      <c r="I21" s="13"/>
      <c r="J21" s="13"/>
      <c r="K21" s="1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5" s="31" customFormat="1" ht="15.75" x14ac:dyDescent="0.25">
      <c r="A22" s="1"/>
      <c r="B22" s="134" t="s">
        <v>8</v>
      </c>
      <c r="C22" s="134"/>
      <c r="D22" s="135"/>
      <c r="E22" s="136" t="s">
        <v>123</v>
      </c>
      <c r="F22" s="137"/>
      <c r="G22" s="137"/>
      <c r="H22" s="137"/>
      <c r="I22" s="138"/>
      <c r="J22" s="135"/>
      <c r="K22" s="13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5" s="31" customFormat="1" ht="15" customHeight="1" x14ac:dyDescent="0.25">
      <c r="A23" s="1"/>
      <c r="B23" s="139" t="s">
        <v>9</v>
      </c>
      <c r="C23" s="140" t="s">
        <v>10</v>
      </c>
      <c r="D23" s="141" t="s">
        <v>11</v>
      </c>
      <c r="E23" s="142"/>
      <c r="F23" s="143" t="s">
        <v>12</v>
      </c>
      <c r="G23" s="144" t="s">
        <v>13</v>
      </c>
      <c r="H23" s="137"/>
      <c r="I23" s="137"/>
      <c r="J23" s="140" t="s">
        <v>14</v>
      </c>
      <c r="K23" s="144" t="s">
        <v>15</v>
      </c>
      <c r="L23" s="137"/>
      <c r="M23" s="137"/>
      <c r="N23" s="137"/>
      <c r="O23" s="138"/>
      <c r="P23" s="131" t="s">
        <v>16</v>
      </c>
      <c r="Q23" s="132"/>
      <c r="R23" s="132"/>
      <c r="S23" s="132"/>
      <c r="T23" s="132"/>
      <c r="U23" s="132"/>
      <c r="V23" s="132"/>
      <c r="W23" s="133"/>
    </row>
    <row r="24" spans="1:25" s="31" customFormat="1" ht="15.75" x14ac:dyDescent="0.25">
      <c r="A24" s="1"/>
      <c r="B24" s="139"/>
      <c r="C24" s="145"/>
      <c r="D24" s="136"/>
      <c r="E24" s="146"/>
      <c r="F24" s="147"/>
      <c r="G24" s="148" t="s">
        <v>17</v>
      </c>
      <c r="H24" s="148" t="s">
        <v>18</v>
      </c>
      <c r="I24" s="148" t="s">
        <v>19</v>
      </c>
      <c r="J24" s="145"/>
      <c r="K24" s="148" t="s">
        <v>20</v>
      </c>
      <c r="L24" s="149" t="s">
        <v>21</v>
      </c>
      <c r="M24" s="149" t="s">
        <v>22</v>
      </c>
      <c r="N24" s="149" t="s">
        <v>23</v>
      </c>
      <c r="O24" s="149" t="s">
        <v>24</v>
      </c>
      <c r="P24" s="149" t="s">
        <v>25</v>
      </c>
      <c r="Q24" s="149" t="s">
        <v>26</v>
      </c>
      <c r="R24" s="149" t="s">
        <v>27</v>
      </c>
      <c r="S24" s="149" t="s">
        <v>28</v>
      </c>
      <c r="T24" s="149" t="s">
        <v>29</v>
      </c>
      <c r="U24" s="149" t="s">
        <v>30</v>
      </c>
      <c r="V24" s="149" t="s">
        <v>31</v>
      </c>
      <c r="W24" s="149" t="s">
        <v>32</v>
      </c>
    </row>
    <row r="25" spans="1:25" s="31" customFormat="1" ht="15.75" x14ac:dyDescent="0.25">
      <c r="A25" s="53"/>
      <c r="B25" s="42" t="s">
        <v>33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</row>
    <row r="26" spans="1:25" s="31" customFormat="1" ht="36.6" customHeight="1" x14ac:dyDescent="0.25">
      <c r="A26" s="25"/>
      <c r="B26" s="49" t="s">
        <v>34</v>
      </c>
      <c r="C26" s="59" t="s">
        <v>35</v>
      </c>
      <c r="D26" s="55" t="s">
        <v>36</v>
      </c>
      <c r="E26" s="56"/>
      <c r="F26" s="51">
        <v>80</v>
      </c>
      <c r="G26" s="57">
        <v>1.1000000000000001</v>
      </c>
      <c r="H26" s="57">
        <v>8.1</v>
      </c>
      <c r="I26" s="57">
        <v>5.2</v>
      </c>
      <c r="J26" s="57">
        <v>97.5</v>
      </c>
      <c r="K26" s="57">
        <v>0.04</v>
      </c>
      <c r="L26" s="57">
        <v>0.04</v>
      </c>
      <c r="M26" s="57">
        <v>104.1</v>
      </c>
      <c r="N26" s="57">
        <v>0.4</v>
      </c>
      <c r="O26" s="57">
        <v>25.3</v>
      </c>
      <c r="P26" s="57">
        <v>113.3</v>
      </c>
      <c r="Q26" s="57">
        <v>160</v>
      </c>
      <c r="R26" s="57">
        <v>33.299999999999997</v>
      </c>
      <c r="S26" s="57">
        <v>14.7</v>
      </c>
      <c r="T26" s="57">
        <v>25.3</v>
      </c>
      <c r="U26" s="57">
        <v>0</v>
      </c>
      <c r="V26" s="57">
        <v>13.1</v>
      </c>
      <c r="W26" s="57">
        <v>0.1</v>
      </c>
    </row>
    <row r="27" spans="1:25" ht="63.75" x14ac:dyDescent="0.25">
      <c r="A27" s="25"/>
      <c r="B27" s="49" t="s">
        <v>37</v>
      </c>
      <c r="C27" s="59" t="s">
        <v>35</v>
      </c>
      <c r="D27" s="55" t="s">
        <v>38</v>
      </c>
      <c r="E27" s="56"/>
      <c r="F27" s="51">
        <v>230</v>
      </c>
      <c r="G27" s="57">
        <v>11.8</v>
      </c>
      <c r="H27" s="57">
        <v>10.9</v>
      </c>
      <c r="I27" s="57">
        <v>46.9</v>
      </c>
      <c r="J27" s="57">
        <v>332</v>
      </c>
      <c r="K27" s="57">
        <v>0.08</v>
      </c>
      <c r="L27" s="57">
        <v>0.11</v>
      </c>
      <c r="M27" s="57">
        <v>54</v>
      </c>
      <c r="N27" s="57">
        <v>0.8</v>
      </c>
      <c r="O27" s="57">
        <v>0</v>
      </c>
      <c r="P27" s="57">
        <v>521</v>
      </c>
      <c r="Q27" s="57">
        <v>34</v>
      </c>
      <c r="R27" s="57">
        <v>282</v>
      </c>
      <c r="S27" s="57">
        <v>18</v>
      </c>
      <c r="T27" s="57">
        <v>163</v>
      </c>
      <c r="U27" s="57">
        <v>0</v>
      </c>
      <c r="V27" s="57">
        <v>31</v>
      </c>
      <c r="W27" s="57">
        <v>0</v>
      </c>
      <c r="X27"/>
      <c r="Y27"/>
    </row>
    <row r="28" spans="1:25" s="31" customFormat="1" ht="51.6" customHeight="1" x14ac:dyDescent="0.25">
      <c r="A28" s="25"/>
      <c r="B28" s="52" t="s">
        <v>39</v>
      </c>
      <c r="C28" s="150"/>
      <c r="D28" s="55" t="s">
        <v>40</v>
      </c>
      <c r="E28" s="56"/>
      <c r="F28" s="51">
        <v>55</v>
      </c>
      <c r="G28" s="57">
        <f>4.28/40*55</f>
        <v>5.8850000000000007</v>
      </c>
      <c r="H28" s="57">
        <f>1.8/40*55</f>
        <v>2.4750000000000001</v>
      </c>
      <c r="I28" s="57">
        <f>17.4/40*55</f>
        <v>23.924999999999997</v>
      </c>
      <c r="J28" s="57">
        <f>109.6/40*55</f>
        <v>150.69999999999999</v>
      </c>
      <c r="K28" s="57">
        <f>0.164/40*55</f>
        <v>0.22550000000000001</v>
      </c>
      <c r="L28" s="57">
        <f>0.101/40*55</f>
        <v>0.13887500000000003</v>
      </c>
      <c r="M28" s="57">
        <v>0</v>
      </c>
      <c r="N28" s="57">
        <f>2.24/40*55</f>
        <v>3.0800000000000005</v>
      </c>
      <c r="O28" s="57">
        <f>0.08/40*55</f>
        <v>0.11</v>
      </c>
      <c r="P28" s="57">
        <f>189.2/40*55</f>
        <v>260.14999999999998</v>
      </c>
      <c r="Q28" s="57">
        <f>50/40*55</f>
        <v>68.75</v>
      </c>
      <c r="R28" s="57">
        <f>1.96/40*55</f>
        <v>2.6950000000000003</v>
      </c>
      <c r="S28" s="57">
        <f>16.4/40*55</f>
        <v>22.549999999999997</v>
      </c>
      <c r="T28" s="57">
        <f>51.6/40*55</f>
        <v>70.95</v>
      </c>
      <c r="U28" s="57">
        <f>1.44/40*55</f>
        <v>1.9799999999999998</v>
      </c>
      <c r="V28" s="57">
        <v>0</v>
      </c>
      <c r="W28" s="57">
        <f>11.52/40*55</f>
        <v>15.839999999999998</v>
      </c>
    </row>
    <row r="29" spans="1:25" s="31" customFormat="1" ht="55.9" customHeight="1" x14ac:dyDescent="0.25">
      <c r="A29" s="25"/>
      <c r="B29" s="52" t="s">
        <v>39</v>
      </c>
      <c r="C29" s="50"/>
      <c r="D29" s="55" t="s">
        <v>41</v>
      </c>
      <c r="E29" s="56"/>
      <c r="F29" s="51">
        <v>55</v>
      </c>
      <c r="G29" s="57">
        <f>3.4/40*55</f>
        <v>4.6749999999999998</v>
      </c>
      <c r="H29" s="57">
        <f>1.32/40*55</f>
        <v>1.8150000000000002</v>
      </c>
      <c r="I29" s="57">
        <f>17/40*55</f>
        <v>23.375</v>
      </c>
      <c r="J29" s="57">
        <f>103.6/40*55</f>
        <v>142.44999999999999</v>
      </c>
      <c r="K29" s="57">
        <f>0.17/40*55</f>
        <v>0.23375000000000001</v>
      </c>
      <c r="L29" s="57">
        <f>0.13/40*55</f>
        <v>0.17875000000000002</v>
      </c>
      <c r="M29" s="57">
        <v>0</v>
      </c>
      <c r="N29" s="57">
        <f>1.52/40*55</f>
        <v>2.09</v>
      </c>
      <c r="O29" s="57">
        <f>0.16/40*55</f>
        <v>0.22</v>
      </c>
      <c r="P29" s="57">
        <f>241.2/40*55</f>
        <v>331.65</v>
      </c>
      <c r="Q29" s="57">
        <f>29.2/40*55</f>
        <v>40.15</v>
      </c>
      <c r="R29" s="57">
        <f>0.48/40*55</f>
        <v>0.66</v>
      </c>
      <c r="S29" s="57">
        <f>16/40*55</f>
        <v>22</v>
      </c>
      <c r="T29" s="57">
        <f>50/40*55</f>
        <v>68.75</v>
      </c>
      <c r="U29" s="57">
        <f>1.13/40*55</f>
        <v>1.55375</v>
      </c>
      <c r="V29" s="57">
        <v>0</v>
      </c>
      <c r="W29" s="57">
        <f>12.36/40*55</f>
        <v>16.995000000000001</v>
      </c>
    </row>
    <row r="30" spans="1:25" s="31" customFormat="1" ht="32.450000000000003" customHeight="1" x14ac:dyDescent="0.25">
      <c r="A30" s="25"/>
      <c r="B30" s="49" t="s">
        <v>42</v>
      </c>
      <c r="C30" s="59" t="s">
        <v>35</v>
      </c>
      <c r="D30" s="55" t="s">
        <v>43</v>
      </c>
      <c r="E30" s="56"/>
      <c r="F30" s="51">
        <v>200</v>
      </c>
      <c r="G30" s="57">
        <v>3.8</v>
      </c>
      <c r="H30" s="57">
        <v>3.5</v>
      </c>
      <c r="I30" s="57">
        <v>11.1</v>
      </c>
      <c r="J30" s="57">
        <v>90.8</v>
      </c>
      <c r="K30" s="57">
        <v>0.02</v>
      </c>
      <c r="L30" s="57">
        <v>0.11</v>
      </c>
      <c r="M30" s="57">
        <v>12</v>
      </c>
      <c r="N30" s="57">
        <v>0.2</v>
      </c>
      <c r="O30" s="57">
        <v>0</v>
      </c>
      <c r="P30" s="57">
        <v>51</v>
      </c>
      <c r="Q30" s="57">
        <v>221</v>
      </c>
      <c r="R30" s="57">
        <v>112</v>
      </c>
      <c r="S30" s="57">
        <v>30</v>
      </c>
      <c r="T30" s="57">
        <v>107</v>
      </c>
      <c r="U30" s="57">
        <v>1</v>
      </c>
      <c r="V30" s="57">
        <v>9</v>
      </c>
      <c r="W30" s="57">
        <v>1.8</v>
      </c>
    </row>
    <row r="31" spans="1:25" s="31" customFormat="1" ht="33" customHeight="1" x14ac:dyDescent="0.25">
      <c r="A31" s="25"/>
      <c r="B31" s="49" t="s">
        <v>39</v>
      </c>
      <c r="C31" s="59"/>
      <c r="D31" s="55" t="s">
        <v>44</v>
      </c>
      <c r="E31" s="56"/>
      <c r="F31" s="51">
        <v>75</v>
      </c>
      <c r="G31" s="57">
        <v>3.2</v>
      </c>
      <c r="H31" s="57">
        <v>7.7</v>
      </c>
      <c r="I31" s="57">
        <v>34</v>
      </c>
      <c r="J31" s="57">
        <v>211.2</v>
      </c>
      <c r="K31" s="57">
        <v>0.47</v>
      </c>
      <c r="L31" s="57">
        <v>0.56999999999999995</v>
      </c>
      <c r="M31" s="57">
        <v>2.1</v>
      </c>
      <c r="N31" s="57">
        <v>1.26</v>
      </c>
      <c r="O31" s="57">
        <v>0.15</v>
      </c>
      <c r="P31" s="57">
        <v>10.16</v>
      </c>
      <c r="Q31" s="57">
        <v>82.49</v>
      </c>
      <c r="R31" s="57">
        <v>37.729999999999997</v>
      </c>
      <c r="S31" s="57">
        <v>6.95</v>
      </c>
      <c r="T31" s="57">
        <v>43.7</v>
      </c>
      <c r="U31" s="57">
        <v>0.81</v>
      </c>
      <c r="V31" s="57">
        <v>1.44</v>
      </c>
      <c r="W31" s="57">
        <v>1.37</v>
      </c>
    </row>
    <row r="32" spans="1:25" s="31" customFormat="1" ht="51.6" customHeight="1" x14ac:dyDescent="0.25">
      <c r="A32" s="60"/>
      <c r="B32" s="61" t="s">
        <v>39</v>
      </c>
      <c r="C32" s="62"/>
      <c r="D32" s="63" t="s">
        <v>45</v>
      </c>
      <c r="E32" s="64"/>
      <c r="F32" s="65">
        <v>200</v>
      </c>
      <c r="G32" s="66">
        <v>1</v>
      </c>
      <c r="H32" s="66">
        <v>0.2</v>
      </c>
      <c r="I32" s="66">
        <v>20.2</v>
      </c>
      <c r="J32" s="66">
        <v>92</v>
      </c>
      <c r="K32" s="66">
        <v>0.02</v>
      </c>
      <c r="L32" s="66">
        <v>0.02</v>
      </c>
      <c r="M32" s="66">
        <v>0</v>
      </c>
      <c r="N32" s="66">
        <v>0.04</v>
      </c>
      <c r="O32" s="66">
        <v>4</v>
      </c>
      <c r="P32" s="66">
        <v>12</v>
      </c>
      <c r="Q32" s="66">
        <v>240</v>
      </c>
      <c r="R32" s="66">
        <v>14</v>
      </c>
      <c r="S32" s="66">
        <v>8</v>
      </c>
      <c r="T32" s="66">
        <v>14</v>
      </c>
      <c r="U32" s="66">
        <v>2.8</v>
      </c>
      <c r="V32" s="66">
        <v>2</v>
      </c>
      <c r="W32" s="66">
        <v>0</v>
      </c>
    </row>
    <row r="33" spans="1:25" s="31" customFormat="1" ht="37.15" customHeight="1" x14ac:dyDescent="0.25">
      <c r="A33" s="25"/>
      <c r="B33" s="68"/>
      <c r="C33" s="69"/>
      <c r="D33" s="70" t="s">
        <v>46</v>
      </c>
      <c r="E33" s="71"/>
      <c r="F33" s="48">
        <f t="shared" ref="F33:W33" si="0">SUM(F26:F32)</f>
        <v>895</v>
      </c>
      <c r="G33" s="92">
        <f t="shared" si="0"/>
        <v>31.46</v>
      </c>
      <c r="H33" s="92">
        <f t="shared" si="0"/>
        <v>34.690000000000005</v>
      </c>
      <c r="I33" s="92">
        <f t="shared" si="0"/>
        <v>164.7</v>
      </c>
      <c r="J33" s="92">
        <f t="shared" si="0"/>
        <v>1116.6500000000001</v>
      </c>
      <c r="K33" s="92">
        <f t="shared" si="0"/>
        <v>1.0892500000000001</v>
      </c>
      <c r="L33" s="92">
        <f t="shared" si="0"/>
        <v>1.1676250000000001</v>
      </c>
      <c r="M33" s="92">
        <f t="shared" si="0"/>
        <v>172.2</v>
      </c>
      <c r="N33" s="92">
        <f t="shared" si="0"/>
        <v>7.870000000000001</v>
      </c>
      <c r="O33" s="92">
        <f t="shared" si="0"/>
        <v>29.779999999999998</v>
      </c>
      <c r="P33" s="92">
        <f t="shared" si="0"/>
        <v>1299.26</v>
      </c>
      <c r="Q33" s="92">
        <f t="shared" si="0"/>
        <v>846.39</v>
      </c>
      <c r="R33" s="92">
        <f t="shared" si="0"/>
        <v>482.38500000000005</v>
      </c>
      <c r="S33" s="92">
        <f t="shared" si="0"/>
        <v>122.2</v>
      </c>
      <c r="T33" s="92">
        <f t="shared" si="0"/>
        <v>492.7</v>
      </c>
      <c r="U33" s="92">
        <f t="shared" si="0"/>
        <v>8.1437500000000007</v>
      </c>
      <c r="V33" s="92">
        <f t="shared" si="0"/>
        <v>56.54</v>
      </c>
      <c r="W33" s="92">
        <f t="shared" si="0"/>
        <v>36.104999999999997</v>
      </c>
    </row>
    <row r="34" spans="1:25" ht="57.6" customHeight="1" x14ac:dyDescent="0.25">
      <c r="A34" s="25"/>
      <c r="B34" s="43"/>
      <c r="C34" s="151"/>
      <c r="D34" s="152"/>
      <c r="E34" s="152"/>
      <c r="F34" s="82"/>
      <c r="G34" s="95"/>
      <c r="H34" s="95"/>
      <c r="I34" s="95"/>
      <c r="J34" s="15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/>
      <c r="Y34"/>
    </row>
    <row r="35" spans="1:25" s="31" customFormat="1" ht="15.75" x14ac:dyDescent="0.25">
      <c r="A35" s="53"/>
      <c r="B35" s="53"/>
      <c r="C35" s="74"/>
      <c r="D35" s="79"/>
      <c r="E35" s="79"/>
      <c r="F35" s="80"/>
      <c r="G35" s="80"/>
      <c r="H35" s="80"/>
      <c r="I35" s="80"/>
      <c r="J35" s="80"/>
      <c r="K35" s="76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</row>
    <row r="36" spans="1:25" ht="19.149999999999999" customHeight="1" x14ac:dyDescent="0.25">
      <c r="A36" s="53"/>
      <c r="B36" s="53"/>
      <c r="C36" s="74"/>
      <c r="D36" s="81"/>
      <c r="E36" s="81"/>
      <c r="F36" s="76"/>
      <c r="G36" s="80"/>
      <c r="H36" s="80"/>
      <c r="I36" s="80"/>
      <c r="J36" s="80"/>
      <c r="K36" s="76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/>
      <c r="Y36"/>
    </row>
    <row r="37" spans="1:25" ht="18.600000000000001" customHeight="1" x14ac:dyDescent="0.25">
      <c r="A37" s="25"/>
      <c r="B37" s="26" t="s">
        <v>47</v>
      </c>
      <c r="C37" s="27"/>
      <c r="D37" s="27"/>
      <c r="E37" s="28"/>
      <c r="F37" s="33"/>
      <c r="G37" s="33"/>
      <c r="H37" s="33"/>
      <c r="I37" s="33"/>
      <c r="J37" s="33"/>
      <c r="K37" s="8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/>
      <c r="Y37"/>
    </row>
    <row r="38" spans="1:25" ht="33" hidden="1" customHeight="1" x14ac:dyDescent="0.25">
      <c r="A38" s="25"/>
      <c r="B38" s="32" t="s">
        <v>48</v>
      </c>
      <c r="C38" s="32"/>
      <c r="D38" s="33"/>
      <c r="E38" s="42" t="s">
        <v>123</v>
      </c>
      <c r="F38" s="35"/>
      <c r="G38" s="35"/>
      <c r="H38" s="35"/>
      <c r="I38" s="36"/>
      <c r="J38" s="33"/>
      <c r="K38" s="33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/>
      <c r="Y38"/>
    </row>
    <row r="39" spans="1:25" s="31" customFormat="1" ht="17.25" customHeight="1" x14ac:dyDescent="0.25">
      <c r="A39" s="25"/>
      <c r="B39" s="37" t="s">
        <v>9</v>
      </c>
      <c r="C39" s="38" t="s">
        <v>10</v>
      </c>
      <c r="D39" s="39" t="s">
        <v>11</v>
      </c>
      <c r="E39" s="40"/>
      <c r="F39" s="41" t="s">
        <v>12</v>
      </c>
      <c r="G39" s="42" t="s">
        <v>13</v>
      </c>
      <c r="H39" s="35"/>
      <c r="I39" s="35"/>
      <c r="J39" s="38" t="s">
        <v>14</v>
      </c>
      <c r="K39" s="42" t="s">
        <v>15</v>
      </c>
      <c r="L39" s="35"/>
      <c r="M39" s="35"/>
      <c r="N39" s="35"/>
      <c r="O39" s="36"/>
      <c r="P39" s="26" t="s">
        <v>16</v>
      </c>
      <c r="Q39" s="27"/>
      <c r="R39" s="27"/>
      <c r="S39" s="27"/>
      <c r="T39" s="27"/>
      <c r="U39" s="27"/>
      <c r="V39" s="27"/>
      <c r="W39" s="28"/>
    </row>
    <row r="40" spans="1:25" s="31" customFormat="1" ht="21" customHeight="1" x14ac:dyDescent="0.25">
      <c r="A40" s="25"/>
      <c r="B40" s="37"/>
      <c r="C40" s="44"/>
      <c r="D40" s="34"/>
      <c r="E40" s="45"/>
      <c r="F40" s="46"/>
      <c r="G40" s="47" t="s">
        <v>17</v>
      </c>
      <c r="H40" s="47" t="s">
        <v>18</v>
      </c>
      <c r="I40" s="47" t="s">
        <v>19</v>
      </c>
      <c r="J40" s="44"/>
      <c r="K40" s="47" t="s">
        <v>20</v>
      </c>
      <c r="L40" s="48" t="s">
        <v>21</v>
      </c>
      <c r="M40" s="48" t="s">
        <v>22</v>
      </c>
      <c r="N40" s="48" t="s">
        <v>23</v>
      </c>
      <c r="O40" s="48" t="s">
        <v>24</v>
      </c>
      <c r="P40" s="48" t="s">
        <v>25</v>
      </c>
      <c r="Q40" s="48" t="s">
        <v>26</v>
      </c>
      <c r="R40" s="48" t="s">
        <v>49</v>
      </c>
      <c r="S40" s="48" t="s">
        <v>28</v>
      </c>
      <c r="T40" s="48" t="s">
        <v>29</v>
      </c>
      <c r="U40" s="48" t="s">
        <v>30</v>
      </c>
      <c r="V40" s="48" t="s">
        <v>31</v>
      </c>
      <c r="W40" s="48" t="s">
        <v>32</v>
      </c>
    </row>
    <row r="41" spans="1:25" s="31" customFormat="1" ht="22.5" customHeight="1" x14ac:dyDescent="0.25">
      <c r="A41" s="25"/>
      <c r="B41" s="42" t="s">
        <v>33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6"/>
    </row>
    <row r="42" spans="1:25" s="31" customFormat="1" ht="24.75" customHeight="1" x14ac:dyDescent="0.25">
      <c r="A42" s="25"/>
      <c r="B42" s="49" t="s">
        <v>50</v>
      </c>
      <c r="C42" s="50" t="s">
        <v>51</v>
      </c>
      <c r="D42" s="55" t="s">
        <v>52</v>
      </c>
      <c r="E42" s="56"/>
      <c r="F42" s="51">
        <v>40</v>
      </c>
      <c r="G42" s="57">
        <v>1.2</v>
      </c>
      <c r="H42" s="57">
        <v>0.1</v>
      </c>
      <c r="I42" s="57">
        <v>2.4</v>
      </c>
      <c r="J42" s="57">
        <v>14.8</v>
      </c>
      <c r="K42" s="57">
        <v>1.1666666666666665E-2</v>
      </c>
      <c r="L42" s="57">
        <v>2.3333333333333331E-2</v>
      </c>
      <c r="M42" s="57">
        <v>0.5</v>
      </c>
      <c r="N42" s="57">
        <v>0.28000000000000003</v>
      </c>
      <c r="O42" s="57">
        <v>0.77</v>
      </c>
      <c r="P42" s="57">
        <v>122</v>
      </c>
      <c r="Q42" s="57">
        <v>45.2</v>
      </c>
      <c r="R42" s="57">
        <v>14.8</v>
      </c>
      <c r="S42" s="57">
        <v>4.5</v>
      </c>
      <c r="T42" s="57">
        <v>14.3</v>
      </c>
      <c r="U42" s="57">
        <v>0.13</v>
      </c>
      <c r="V42" s="57">
        <v>0</v>
      </c>
      <c r="W42" s="57">
        <v>0.2</v>
      </c>
    </row>
    <row r="43" spans="1:25" s="31" customFormat="1" ht="24.75" customHeight="1" x14ac:dyDescent="0.25">
      <c r="A43" s="25"/>
      <c r="B43" s="49" t="s">
        <v>53</v>
      </c>
      <c r="C43" s="59" t="s">
        <v>35</v>
      </c>
      <c r="D43" s="55" t="s">
        <v>54</v>
      </c>
      <c r="E43" s="56"/>
      <c r="F43" s="51">
        <v>200</v>
      </c>
      <c r="G43" s="57">
        <v>4.0999999999999996</v>
      </c>
      <c r="H43" s="57">
        <v>7.6</v>
      </c>
      <c r="I43" s="57">
        <v>31.6</v>
      </c>
      <c r="J43" s="57">
        <v>211.1</v>
      </c>
      <c r="K43" s="57">
        <v>0.16</v>
      </c>
      <c r="L43" s="57">
        <v>0.1</v>
      </c>
      <c r="M43" s="57">
        <v>31</v>
      </c>
      <c r="N43" s="57">
        <v>1.3</v>
      </c>
      <c r="O43" s="57">
        <v>13</v>
      </c>
      <c r="P43" s="57">
        <v>319</v>
      </c>
      <c r="Q43" s="57">
        <v>1003</v>
      </c>
      <c r="R43" s="57">
        <v>54</v>
      </c>
      <c r="S43" s="57">
        <v>39</v>
      </c>
      <c r="T43" s="57">
        <v>111</v>
      </c>
      <c r="U43" s="57">
        <v>1</v>
      </c>
      <c r="V43" s="57">
        <v>38</v>
      </c>
      <c r="W43" s="57">
        <v>1.1000000000000001</v>
      </c>
    </row>
    <row r="44" spans="1:25" s="31" customFormat="1" ht="38.450000000000003" customHeight="1" x14ac:dyDescent="0.25">
      <c r="A44" s="25"/>
      <c r="B44" s="49" t="s">
        <v>55</v>
      </c>
      <c r="C44" s="59" t="s">
        <v>35</v>
      </c>
      <c r="D44" s="55" t="s">
        <v>56</v>
      </c>
      <c r="E44" s="56"/>
      <c r="F44" s="51">
        <v>30</v>
      </c>
      <c r="G44" s="57">
        <v>0.99</v>
      </c>
      <c r="H44" s="57">
        <v>0.81</v>
      </c>
      <c r="I44" s="57">
        <v>2.71</v>
      </c>
      <c r="J44" s="57">
        <v>22.1</v>
      </c>
      <c r="K44" s="57">
        <v>6.0000000000000001E-3</v>
      </c>
      <c r="L44" s="57">
        <v>0</v>
      </c>
      <c r="M44" s="57">
        <v>7.98</v>
      </c>
      <c r="N44" s="57">
        <v>0.06</v>
      </c>
      <c r="O44" s="57">
        <v>0.6</v>
      </c>
      <c r="P44" s="57">
        <v>14.1</v>
      </c>
      <c r="Q44" s="57">
        <v>10.5</v>
      </c>
      <c r="R44" s="57">
        <v>3.9</v>
      </c>
      <c r="S44" s="57">
        <v>1.5</v>
      </c>
      <c r="T44" s="57">
        <v>6.9</v>
      </c>
      <c r="U44" s="57">
        <v>0</v>
      </c>
      <c r="V44" s="57">
        <v>0.54</v>
      </c>
      <c r="W44" s="57">
        <v>0.12</v>
      </c>
    </row>
    <row r="45" spans="1:25" ht="21" customHeight="1" x14ac:dyDescent="0.25">
      <c r="A45" s="25"/>
      <c r="B45" s="49" t="s">
        <v>57</v>
      </c>
      <c r="C45" s="59" t="s">
        <v>35</v>
      </c>
      <c r="D45" s="55" t="s">
        <v>58</v>
      </c>
      <c r="E45" s="56"/>
      <c r="F45" s="51">
        <v>100</v>
      </c>
      <c r="G45" s="57">
        <v>14.7</v>
      </c>
      <c r="H45" s="57">
        <v>12.2</v>
      </c>
      <c r="I45" s="57">
        <v>8.6</v>
      </c>
      <c r="J45" s="57">
        <v>203.1</v>
      </c>
      <c r="K45" s="57">
        <v>0.04</v>
      </c>
      <c r="L45" s="57">
        <v>0.1</v>
      </c>
      <c r="M45" s="57">
        <v>1.7</v>
      </c>
      <c r="N45" s="57">
        <v>1.9</v>
      </c>
      <c r="O45" s="57">
        <v>0</v>
      </c>
      <c r="P45" s="57">
        <v>268.89999999999998</v>
      </c>
      <c r="Q45" s="57">
        <v>282.2</v>
      </c>
      <c r="R45" s="57">
        <v>26.7</v>
      </c>
      <c r="S45" s="57">
        <v>18.899999999999999</v>
      </c>
      <c r="T45" s="57">
        <v>156.69999999999999</v>
      </c>
      <c r="U45" s="57">
        <v>2.2000000000000002</v>
      </c>
      <c r="V45" s="57">
        <v>29.7</v>
      </c>
      <c r="W45" s="57">
        <v>1.6</v>
      </c>
      <c r="X45"/>
      <c r="Y45"/>
    </row>
    <row r="46" spans="1:25" s="25" customFormat="1" ht="27.6" customHeight="1" x14ac:dyDescent="0.25">
      <c r="B46" s="52" t="s">
        <v>39</v>
      </c>
      <c r="C46" s="150"/>
      <c r="D46" s="55" t="s">
        <v>40</v>
      </c>
      <c r="E46" s="56"/>
      <c r="F46" s="51">
        <v>40</v>
      </c>
      <c r="G46" s="57">
        <v>4.28</v>
      </c>
      <c r="H46" s="57">
        <v>1.8</v>
      </c>
      <c r="I46" s="57">
        <v>17.399999999999999</v>
      </c>
      <c r="J46" s="57">
        <v>109.6</v>
      </c>
      <c r="K46" s="57">
        <v>0.16400000000000001</v>
      </c>
      <c r="L46" s="57">
        <v>0.10100000000000001</v>
      </c>
      <c r="M46" s="57">
        <v>0</v>
      </c>
      <c r="N46" s="57">
        <v>2.2400000000000002</v>
      </c>
      <c r="O46" s="57">
        <v>0.08</v>
      </c>
      <c r="P46" s="57">
        <v>189.2</v>
      </c>
      <c r="Q46" s="57">
        <v>50</v>
      </c>
      <c r="R46" s="57">
        <v>1.96</v>
      </c>
      <c r="S46" s="57">
        <v>16.399999999999999</v>
      </c>
      <c r="T46" s="57">
        <v>51.6</v>
      </c>
      <c r="U46" s="57">
        <v>1.44</v>
      </c>
      <c r="V46" s="57">
        <v>0</v>
      </c>
      <c r="W46" s="57">
        <v>11.52</v>
      </c>
    </row>
    <row r="47" spans="1:25" s="31" customFormat="1" ht="53.45" customHeight="1" x14ac:dyDescent="0.25">
      <c r="A47" s="25"/>
      <c r="B47" s="52" t="s">
        <v>39</v>
      </c>
      <c r="C47" s="154"/>
      <c r="D47" s="55" t="s">
        <v>41</v>
      </c>
      <c r="E47" s="56"/>
      <c r="F47" s="51">
        <v>40</v>
      </c>
      <c r="G47" s="57">
        <v>3.4</v>
      </c>
      <c r="H47" s="57">
        <v>1.32</v>
      </c>
      <c r="I47" s="57">
        <v>17</v>
      </c>
      <c r="J47" s="57">
        <v>103.6</v>
      </c>
      <c r="K47" s="57">
        <v>0.17</v>
      </c>
      <c r="L47" s="57">
        <v>0.13</v>
      </c>
      <c r="M47" s="57">
        <v>0</v>
      </c>
      <c r="N47" s="57">
        <v>1.52</v>
      </c>
      <c r="O47" s="57">
        <v>0.16</v>
      </c>
      <c r="P47" s="57">
        <v>241.2</v>
      </c>
      <c r="Q47" s="57">
        <v>29.2</v>
      </c>
      <c r="R47" s="57">
        <v>0.48</v>
      </c>
      <c r="S47" s="57">
        <v>16</v>
      </c>
      <c r="T47" s="57">
        <v>50</v>
      </c>
      <c r="U47" s="57">
        <v>1.1299999999999999</v>
      </c>
      <c r="V47" s="57">
        <v>0</v>
      </c>
      <c r="W47" s="57">
        <v>12.36</v>
      </c>
    </row>
    <row r="48" spans="1:25" s="31" customFormat="1" ht="53.45" customHeight="1" x14ac:dyDescent="0.25">
      <c r="A48" s="25"/>
      <c r="B48" s="49">
        <v>204</v>
      </c>
      <c r="C48" s="50" t="s">
        <v>59</v>
      </c>
      <c r="D48" s="55" t="s">
        <v>60</v>
      </c>
      <c r="E48" s="56"/>
      <c r="F48" s="51">
        <v>200</v>
      </c>
      <c r="G48" s="57">
        <v>0</v>
      </c>
      <c r="H48" s="57">
        <v>0</v>
      </c>
      <c r="I48" s="57">
        <v>27.26</v>
      </c>
      <c r="J48" s="57">
        <v>110.2</v>
      </c>
      <c r="K48" s="57">
        <v>0.12</v>
      </c>
      <c r="L48" s="57">
        <v>0</v>
      </c>
      <c r="M48" s="57">
        <v>0</v>
      </c>
      <c r="N48" s="57">
        <v>0</v>
      </c>
      <c r="O48" s="57">
        <v>6</v>
      </c>
      <c r="P48" s="57">
        <v>0</v>
      </c>
      <c r="Q48" s="57">
        <v>0</v>
      </c>
      <c r="R48" s="57">
        <v>0.24</v>
      </c>
      <c r="S48" s="57">
        <v>0.18</v>
      </c>
      <c r="T48" s="57">
        <v>0.46</v>
      </c>
      <c r="U48" s="57">
        <v>0</v>
      </c>
      <c r="V48" s="57">
        <v>0</v>
      </c>
      <c r="W48" s="57">
        <v>0</v>
      </c>
    </row>
    <row r="49" spans="1:25" s="31" customFormat="1" ht="51" customHeight="1" x14ac:dyDescent="0.25">
      <c r="A49" s="83"/>
      <c r="B49" s="72"/>
      <c r="C49" s="69"/>
      <c r="D49" s="70" t="s">
        <v>46</v>
      </c>
      <c r="E49" s="71"/>
      <c r="F49" s="48">
        <f>SUM(F42:F48)</f>
        <v>650</v>
      </c>
      <c r="G49" s="92">
        <f t="shared" ref="G49:W49" si="1">SUM(G42:G48)</f>
        <v>28.669999999999998</v>
      </c>
      <c r="H49" s="92">
        <f t="shared" si="1"/>
        <v>23.830000000000002</v>
      </c>
      <c r="I49" s="92">
        <f t="shared" si="1"/>
        <v>106.97000000000001</v>
      </c>
      <c r="J49" s="92">
        <f t="shared" si="1"/>
        <v>774.50000000000011</v>
      </c>
      <c r="K49" s="92">
        <f t="shared" si="1"/>
        <v>0.67166666666666675</v>
      </c>
      <c r="L49" s="92">
        <f t="shared" si="1"/>
        <v>0.45433333333333337</v>
      </c>
      <c r="M49" s="92">
        <f t="shared" si="1"/>
        <v>41.180000000000007</v>
      </c>
      <c r="N49" s="92">
        <f t="shared" si="1"/>
        <v>7.3000000000000007</v>
      </c>
      <c r="O49" s="92">
        <f t="shared" si="1"/>
        <v>20.61</v>
      </c>
      <c r="P49" s="92">
        <f t="shared" si="1"/>
        <v>1154.4000000000001</v>
      </c>
      <c r="Q49" s="92">
        <f t="shared" si="1"/>
        <v>1420.1000000000001</v>
      </c>
      <c r="R49" s="92">
        <f t="shared" si="1"/>
        <v>102.08</v>
      </c>
      <c r="S49" s="92">
        <f t="shared" si="1"/>
        <v>96.48</v>
      </c>
      <c r="T49" s="92">
        <f t="shared" si="1"/>
        <v>390.96</v>
      </c>
      <c r="U49" s="92">
        <f t="shared" si="1"/>
        <v>5.8999999999999995</v>
      </c>
      <c r="V49" s="92">
        <f t="shared" si="1"/>
        <v>68.239999999999995</v>
      </c>
      <c r="W49" s="92">
        <f t="shared" si="1"/>
        <v>26.9</v>
      </c>
    </row>
    <row r="50" spans="1:25" s="31" customFormat="1" ht="32.450000000000003" customHeight="1" x14ac:dyDescent="0.25">
      <c r="A50" s="53"/>
      <c r="B50" s="73"/>
      <c r="C50" s="74"/>
      <c r="D50" s="75"/>
      <c r="E50" s="75"/>
      <c r="F50" s="76"/>
      <c r="G50" s="77"/>
      <c r="H50" s="77"/>
      <c r="I50" s="77"/>
      <c r="J50" s="77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</row>
    <row r="51" spans="1:25" s="31" customFormat="1" ht="33" customHeight="1" x14ac:dyDescent="0.25">
      <c r="A51" s="53"/>
      <c r="B51" s="53"/>
      <c r="C51" s="74"/>
      <c r="D51" s="87"/>
      <c r="E51" s="87"/>
      <c r="F51" s="76"/>
      <c r="G51" s="80"/>
      <c r="H51" s="80"/>
      <c r="I51" s="80"/>
      <c r="J51" s="80"/>
      <c r="K51" s="76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</row>
    <row r="52" spans="1:25" s="31" customFormat="1" ht="52.9" customHeight="1" x14ac:dyDescent="0.25">
      <c r="A52" s="25"/>
      <c r="B52" s="26" t="s">
        <v>7</v>
      </c>
      <c r="C52" s="27"/>
      <c r="D52" s="27"/>
      <c r="E52" s="28"/>
      <c r="F52" s="25"/>
      <c r="G52" s="25"/>
      <c r="H52" s="25"/>
      <c r="I52" s="25"/>
      <c r="J52" s="25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</row>
    <row r="53" spans="1:25" s="85" customFormat="1" ht="24.6" customHeight="1" x14ac:dyDescent="0.25">
      <c r="A53" s="25"/>
      <c r="B53" s="32" t="s">
        <v>61</v>
      </c>
      <c r="C53" s="32"/>
      <c r="D53" s="33"/>
      <c r="E53" s="42" t="s">
        <v>123</v>
      </c>
      <c r="F53" s="35"/>
      <c r="G53" s="35"/>
      <c r="H53" s="35"/>
      <c r="I53" s="36"/>
      <c r="J53" s="33"/>
      <c r="K53" s="33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5" ht="20.45" customHeight="1" x14ac:dyDescent="0.25">
      <c r="A54" s="25"/>
      <c r="B54" s="37" t="s">
        <v>9</v>
      </c>
      <c r="C54" s="38" t="s">
        <v>10</v>
      </c>
      <c r="D54" s="39" t="s">
        <v>11</v>
      </c>
      <c r="E54" s="40"/>
      <c r="F54" s="41" t="s">
        <v>12</v>
      </c>
      <c r="G54" s="42" t="s">
        <v>13</v>
      </c>
      <c r="H54" s="35"/>
      <c r="I54" s="35"/>
      <c r="J54" s="38" t="s">
        <v>14</v>
      </c>
      <c r="K54" s="42" t="s">
        <v>15</v>
      </c>
      <c r="L54" s="35"/>
      <c r="M54" s="35"/>
      <c r="N54" s="35"/>
      <c r="O54" s="36"/>
      <c r="P54" s="26" t="s">
        <v>16</v>
      </c>
      <c r="Q54" s="27"/>
      <c r="R54" s="27"/>
      <c r="S54" s="27"/>
      <c r="T54" s="27"/>
      <c r="U54" s="27"/>
      <c r="V54" s="27"/>
      <c r="W54" s="28"/>
      <c r="X54"/>
      <c r="Y54"/>
    </row>
    <row r="55" spans="1:25" ht="19.149999999999999" customHeight="1" x14ac:dyDescent="0.25">
      <c r="A55" s="25"/>
      <c r="B55" s="37"/>
      <c r="C55" s="44"/>
      <c r="D55" s="34"/>
      <c r="E55" s="45"/>
      <c r="F55" s="46"/>
      <c r="G55" s="47" t="s">
        <v>17</v>
      </c>
      <c r="H55" s="47" t="s">
        <v>18</v>
      </c>
      <c r="I55" s="47" t="s">
        <v>19</v>
      </c>
      <c r="J55" s="44"/>
      <c r="K55" s="47" t="s">
        <v>20</v>
      </c>
      <c r="L55" s="48" t="s">
        <v>21</v>
      </c>
      <c r="M55" s="48" t="s">
        <v>22</v>
      </c>
      <c r="N55" s="48" t="s">
        <v>23</v>
      </c>
      <c r="O55" s="48" t="s">
        <v>24</v>
      </c>
      <c r="P55" s="48" t="s">
        <v>25</v>
      </c>
      <c r="Q55" s="48" t="s">
        <v>26</v>
      </c>
      <c r="R55" s="48" t="s">
        <v>27</v>
      </c>
      <c r="S55" s="48" t="s">
        <v>28</v>
      </c>
      <c r="T55" s="48" t="s">
        <v>29</v>
      </c>
      <c r="U55" s="48" t="s">
        <v>30</v>
      </c>
      <c r="V55" s="48" t="s">
        <v>31</v>
      </c>
      <c r="W55" s="48" t="s">
        <v>32</v>
      </c>
      <c r="X55"/>
      <c r="Y55"/>
    </row>
    <row r="56" spans="1:25" s="31" customFormat="1" ht="16.899999999999999" customHeight="1" x14ac:dyDescent="0.25">
      <c r="A56" s="25"/>
      <c r="B56" s="42" t="s">
        <v>33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6"/>
    </row>
    <row r="57" spans="1:25" s="31" customFormat="1" ht="20.25" customHeight="1" x14ac:dyDescent="0.25">
      <c r="A57" s="25"/>
      <c r="B57" s="49">
        <v>33</v>
      </c>
      <c r="C57" s="50" t="s">
        <v>59</v>
      </c>
      <c r="D57" s="55" t="s">
        <v>62</v>
      </c>
      <c r="E57" s="56"/>
      <c r="F57" s="51">
        <v>250</v>
      </c>
      <c r="G57" s="57">
        <v>6.3</v>
      </c>
      <c r="H57" s="57">
        <v>9.85</v>
      </c>
      <c r="I57" s="57">
        <v>7.35</v>
      </c>
      <c r="J57" s="57">
        <v>143</v>
      </c>
      <c r="K57" s="57">
        <v>0.03</v>
      </c>
      <c r="L57" s="57">
        <v>0.08</v>
      </c>
      <c r="M57" s="57">
        <v>26.7</v>
      </c>
      <c r="N57" s="57">
        <v>2.15</v>
      </c>
      <c r="O57" s="57">
        <v>10.029999999999999</v>
      </c>
      <c r="P57" s="57">
        <v>111</v>
      </c>
      <c r="Q57" s="57">
        <v>71</v>
      </c>
      <c r="R57" s="57">
        <v>39.32</v>
      </c>
      <c r="S57" s="57">
        <v>17.5</v>
      </c>
      <c r="T57" s="57">
        <v>75.8</v>
      </c>
      <c r="U57" s="57">
        <v>1.4</v>
      </c>
      <c r="V57" s="57">
        <v>0</v>
      </c>
      <c r="W57" s="57">
        <v>0</v>
      </c>
    </row>
    <row r="58" spans="1:25" s="31" customFormat="1" ht="19.899999999999999" customHeight="1" x14ac:dyDescent="0.25">
      <c r="A58" s="25"/>
      <c r="B58" s="49" t="s">
        <v>63</v>
      </c>
      <c r="C58" s="50" t="s">
        <v>35</v>
      </c>
      <c r="D58" s="89" t="s">
        <v>64</v>
      </c>
      <c r="E58" s="90"/>
      <c r="F58" s="51">
        <v>180</v>
      </c>
      <c r="G58" s="57">
        <v>9.84</v>
      </c>
      <c r="H58" s="57">
        <v>7.8</v>
      </c>
      <c r="I58" s="57">
        <v>51.36</v>
      </c>
      <c r="J58" s="57">
        <v>315</v>
      </c>
      <c r="K58" s="57">
        <v>0.36</v>
      </c>
      <c r="L58" s="57">
        <v>0.12</v>
      </c>
      <c r="M58" s="57">
        <v>24</v>
      </c>
      <c r="N58" s="57">
        <v>2.76</v>
      </c>
      <c r="O58" s="57">
        <v>0</v>
      </c>
      <c r="P58" s="57">
        <v>230.4</v>
      </c>
      <c r="Q58" s="57">
        <v>140.4</v>
      </c>
      <c r="R58" s="57">
        <v>55.2</v>
      </c>
      <c r="S58" s="57">
        <v>70.8</v>
      </c>
      <c r="T58" s="57">
        <v>216</v>
      </c>
      <c r="U58" s="57">
        <v>6</v>
      </c>
      <c r="V58" s="57">
        <v>24</v>
      </c>
      <c r="W58" s="57">
        <v>4.32</v>
      </c>
    </row>
    <row r="59" spans="1:25" s="31" customFormat="1" ht="18" customHeight="1" x14ac:dyDescent="0.25">
      <c r="A59" s="25"/>
      <c r="B59" s="49" t="s">
        <v>65</v>
      </c>
      <c r="C59" s="91" t="s">
        <v>35</v>
      </c>
      <c r="D59" s="55" t="s">
        <v>66</v>
      </c>
      <c r="E59" s="56"/>
      <c r="F59" s="51">
        <v>100</v>
      </c>
      <c r="G59" s="57">
        <v>19.3</v>
      </c>
      <c r="H59" s="57">
        <v>4.8</v>
      </c>
      <c r="I59" s="57">
        <v>12.5</v>
      </c>
      <c r="J59" s="57">
        <v>171.07</v>
      </c>
      <c r="K59" s="57">
        <v>0.13</v>
      </c>
      <c r="L59" s="57">
        <v>0.11</v>
      </c>
      <c r="M59" s="57">
        <v>6.13</v>
      </c>
      <c r="N59" s="57">
        <v>5.47</v>
      </c>
      <c r="O59" s="57">
        <v>0</v>
      </c>
      <c r="P59" s="57">
        <v>305</v>
      </c>
      <c r="Q59" s="57">
        <v>288</v>
      </c>
      <c r="R59" s="57">
        <v>47</v>
      </c>
      <c r="S59" s="57">
        <v>69</v>
      </c>
      <c r="T59" s="57">
        <v>164</v>
      </c>
      <c r="U59" s="57">
        <v>1.33</v>
      </c>
      <c r="V59" s="57">
        <v>17</v>
      </c>
      <c r="W59" s="57">
        <v>18</v>
      </c>
    </row>
    <row r="60" spans="1:25" s="31" customFormat="1" ht="18" customHeight="1" x14ac:dyDescent="0.25">
      <c r="A60" s="25"/>
      <c r="B60" s="52" t="s">
        <v>39</v>
      </c>
      <c r="C60" s="58"/>
      <c r="D60" s="55" t="s">
        <v>40</v>
      </c>
      <c r="E60" s="56"/>
      <c r="F60" s="51">
        <v>45</v>
      </c>
      <c r="G60" s="57">
        <f>4.28/40*45</f>
        <v>4.8150000000000004</v>
      </c>
      <c r="H60" s="57">
        <f>1.8/40*45</f>
        <v>2.0249999999999999</v>
      </c>
      <c r="I60" s="57">
        <f>17.4/40*45</f>
        <v>19.574999999999996</v>
      </c>
      <c r="J60" s="57">
        <f>109.6/40*45</f>
        <v>123.29999999999998</v>
      </c>
      <c r="K60" s="57">
        <f>0.164/40*45</f>
        <v>0.18450000000000003</v>
      </c>
      <c r="L60" s="57">
        <f>0.101/40*45</f>
        <v>0.11362500000000002</v>
      </c>
      <c r="M60" s="57">
        <v>0</v>
      </c>
      <c r="N60" s="57">
        <f>2.24/40*45</f>
        <v>2.5200000000000005</v>
      </c>
      <c r="O60" s="57">
        <f>0.06/30*45</f>
        <v>0.09</v>
      </c>
      <c r="P60" s="57">
        <f>189.2/40*45</f>
        <v>212.84999999999997</v>
      </c>
      <c r="Q60" s="57">
        <f>50/40*45</f>
        <v>56.25</v>
      </c>
      <c r="R60" s="57">
        <f>1.96/40*45</f>
        <v>2.2050000000000001</v>
      </c>
      <c r="S60" s="57">
        <f>16.4/40*45</f>
        <v>18.45</v>
      </c>
      <c r="T60" s="57">
        <f>51.6/40*45</f>
        <v>58.050000000000004</v>
      </c>
      <c r="U60" s="57">
        <f>1.44/40*45</f>
        <v>1.6199999999999999</v>
      </c>
      <c r="V60" s="57">
        <v>0</v>
      </c>
      <c r="W60" s="57">
        <f>11.52/40*45</f>
        <v>12.959999999999999</v>
      </c>
    </row>
    <row r="61" spans="1:25" s="31" customFormat="1" ht="38.450000000000003" customHeight="1" x14ac:dyDescent="0.25">
      <c r="A61" s="25"/>
      <c r="B61" s="52" t="s">
        <v>39</v>
      </c>
      <c r="C61" s="50"/>
      <c r="D61" s="55" t="s">
        <v>41</v>
      </c>
      <c r="E61" s="56"/>
      <c r="F61" s="51">
        <v>44</v>
      </c>
      <c r="G61" s="57">
        <f>3.4/40*44</f>
        <v>3.7399999999999998</v>
      </c>
      <c r="H61" s="57">
        <f>1.32/40*44</f>
        <v>1.452</v>
      </c>
      <c r="I61" s="57">
        <f>17/40*44</f>
        <v>18.7</v>
      </c>
      <c r="J61" s="57">
        <f>103.6/40*44</f>
        <v>113.96</v>
      </c>
      <c r="K61" s="57">
        <f>0.17/40*44</f>
        <v>0.187</v>
      </c>
      <c r="L61" s="57">
        <f>0.13/40*44</f>
        <v>0.14300000000000002</v>
      </c>
      <c r="M61" s="57">
        <v>0</v>
      </c>
      <c r="N61" s="57">
        <f>1.52/40*44</f>
        <v>1.6719999999999999</v>
      </c>
      <c r="O61" s="57">
        <f>0.16/40*44</f>
        <v>0.17599999999999999</v>
      </c>
      <c r="P61" s="57">
        <f>241.2/40*44</f>
        <v>265.32</v>
      </c>
      <c r="Q61" s="57">
        <f>29.2/40*44</f>
        <v>32.119999999999997</v>
      </c>
      <c r="R61" s="57">
        <f>0.48/40*44</f>
        <v>0.52800000000000002</v>
      </c>
      <c r="S61" s="57">
        <f>16/40*44</f>
        <v>17.600000000000001</v>
      </c>
      <c r="T61" s="57">
        <f>50/40*44</f>
        <v>55</v>
      </c>
      <c r="U61" s="57">
        <f>1.13/40*44</f>
        <v>1.2429999999999999</v>
      </c>
      <c r="V61" s="57">
        <v>0</v>
      </c>
      <c r="W61" s="57">
        <f>12.36/40*44</f>
        <v>13.596</v>
      </c>
    </row>
    <row r="62" spans="1:25" ht="18.600000000000001" customHeight="1" x14ac:dyDescent="0.25">
      <c r="A62" s="25"/>
      <c r="B62" s="49" t="s">
        <v>67</v>
      </c>
      <c r="C62" s="50" t="s">
        <v>35</v>
      </c>
      <c r="D62" s="55" t="s">
        <v>68</v>
      </c>
      <c r="E62" s="56"/>
      <c r="F62" s="51">
        <v>200</v>
      </c>
      <c r="G62" s="57">
        <v>0.2</v>
      </c>
      <c r="H62" s="57">
        <v>0</v>
      </c>
      <c r="I62" s="57">
        <v>6.4</v>
      </c>
      <c r="J62" s="57">
        <v>26.4</v>
      </c>
      <c r="K62" s="57">
        <v>0</v>
      </c>
      <c r="L62" s="57">
        <v>0</v>
      </c>
      <c r="M62" s="57">
        <v>0</v>
      </c>
      <c r="N62" s="57">
        <v>0.1</v>
      </c>
      <c r="O62" s="57">
        <v>0</v>
      </c>
      <c r="P62" s="57">
        <v>1</v>
      </c>
      <c r="Q62" s="57">
        <v>25</v>
      </c>
      <c r="R62" s="57">
        <v>4</v>
      </c>
      <c r="S62" s="57">
        <v>4</v>
      </c>
      <c r="T62" s="57">
        <v>7</v>
      </c>
      <c r="U62" s="57">
        <v>1</v>
      </c>
      <c r="V62" s="57">
        <v>0</v>
      </c>
      <c r="W62" s="57">
        <v>0</v>
      </c>
      <c r="X62"/>
      <c r="Y62"/>
    </row>
    <row r="63" spans="1:25" s="31" customFormat="1" ht="42" customHeight="1" x14ac:dyDescent="0.25">
      <c r="A63" s="83"/>
      <c r="B63" s="72"/>
      <c r="C63" s="69"/>
      <c r="D63" s="70" t="s">
        <v>46</v>
      </c>
      <c r="E63" s="71"/>
      <c r="F63" s="48">
        <f t="shared" ref="F63:W63" si="2">SUM(F57:F62)</f>
        <v>819</v>
      </c>
      <c r="G63" s="92">
        <f t="shared" si="2"/>
        <v>44.195</v>
      </c>
      <c r="H63" s="92">
        <f t="shared" si="2"/>
        <v>25.927</v>
      </c>
      <c r="I63" s="92">
        <f t="shared" si="2"/>
        <v>115.88500000000001</v>
      </c>
      <c r="J63" s="92">
        <f t="shared" si="2"/>
        <v>892.7299999999999</v>
      </c>
      <c r="K63" s="92">
        <f t="shared" si="2"/>
        <v>0.89149999999999996</v>
      </c>
      <c r="L63" s="92">
        <f t="shared" si="2"/>
        <v>0.56662500000000005</v>
      </c>
      <c r="M63" s="92">
        <f t="shared" si="2"/>
        <v>56.830000000000005</v>
      </c>
      <c r="N63" s="92">
        <f t="shared" si="2"/>
        <v>14.671999999999999</v>
      </c>
      <c r="O63" s="92">
        <f t="shared" si="2"/>
        <v>10.295999999999999</v>
      </c>
      <c r="P63" s="92">
        <f t="shared" si="2"/>
        <v>1125.57</v>
      </c>
      <c r="Q63" s="92">
        <f t="shared" si="2"/>
        <v>612.77</v>
      </c>
      <c r="R63" s="92">
        <f t="shared" si="2"/>
        <v>148.25300000000001</v>
      </c>
      <c r="S63" s="92">
        <f t="shared" si="2"/>
        <v>197.35</v>
      </c>
      <c r="T63" s="92">
        <f t="shared" si="2"/>
        <v>575.85</v>
      </c>
      <c r="U63" s="92">
        <f t="shared" si="2"/>
        <v>12.593</v>
      </c>
      <c r="V63" s="92">
        <f t="shared" si="2"/>
        <v>41</v>
      </c>
      <c r="W63" s="92">
        <f t="shared" si="2"/>
        <v>48.876000000000005</v>
      </c>
    </row>
    <row r="64" spans="1:25" s="31" customFormat="1" ht="54.6" customHeight="1" x14ac:dyDescent="0.25">
      <c r="A64" s="53"/>
      <c r="B64" s="73"/>
      <c r="C64" s="74"/>
      <c r="D64" s="75"/>
      <c r="E64" s="75"/>
      <c r="F64" s="76"/>
      <c r="G64" s="77"/>
      <c r="H64" s="77"/>
      <c r="I64" s="77"/>
      <c r="J64" s="86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</row>
    <row r="65" spans="1:25" s="31" customFormat="1" ht="52.15" customHeight="1" x14ac:dyDescent="0.25">
      <c r="A65" s="53"/>
      <c r="B65" s="53"/>
      <c r="C65" s="93"/>
      <c r="D65" s="93"/>
      <c r="E65" s="93"/>
      <c r="F65" s="93"/>
      <c r="G65" s="93"/>
      <c r="H65" s="93"/>
      <c r="I65" s="93"/>
      <c r="J65" s="93"/>
      <c r="K65" s="9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</row>
    <row r="66" spans="1:25" s="31" customFormat="1" ht="32.450000000000003" customHeight="1" x14ac:dyDescent="0.25">
      <c r="A66" s="25"/>
      <c r="B66" s="26" t="s">
        <v>69</v>
      </c>
      <c r="C66" s="27"/>
      <c r="D66" s="27"/>
      <c r="E66" s="28"/>
      <c r="F66" s="33"/>
      <c r="G66" s="33"/>
      <c r="H66" s="33"/>
      <c r="I66" s="33"/>
      <c r="J66" s="33"/>
      <c r="K66" s="3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</row>
    <row r="67" spans="1:25" s="31" customFormat="1" ht="33" customHeight="1" x14ac:dyDescent="0.25">
      <c r="A67" s="25"/>
      <c r="B67" s="32" t="s">
        <v>70</v>
      </c>
      <c r="C67" s="32"/>
      <c r="D67" s="33"/>
      <c r="E67" s="42" t="s">
        <v>124</v>
      </c>
      <c r="F67" s="35"/>
      <c r="G67" s="35"/>
      <c r="H67" s="35"/>
      <c r="I67" s="36"/>
      <c r="J67" s="33"/>
      <c r="K67" s="3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5" s="31" customFormat="1" ht="52.15" customHeight="1" x14ac:dyDescent="0.25">
      <c r="A68" s="25"/>
      <c r="B68" s="37" t="s">
        <v>9</v>
      </c>
      <c r="C68" s="38" t="s">
        <v>10</v>
      </c>
      <c r="D68" s="39" t="s">
        <v>11</v>
      </c>
      <c r="E68" s="40"/>
      <c r="F68" s="41" t="s">
        <v>12</v>
      </c>
      <c r="G68" s="42" t="s">
        <v>13</v>
      </c>
      <c r="H68" s="35"/>
      <c r="I68" s="35"/>
      <c r="J68" s="38" t="s">
        <v>14</v>
      </c>
      <c r="K68" s="42" t="s">
        <v>15</v>
      </c>
      <c r="L68" s="35"/>
      <c r="M68" s="35"/>
      <c r="N68" s="35"/>
      <c r="O68" s="36"/>
      <c r="P68" s="26" t="s">
        <v>16</v>
      </c>
      <c r="Q68" s="27"/>
      <c r="R68" s="27"/>
      <c r="S68" s="27"/>
      <c r="T68" s="27"/>
      <c r="U68" s="27"/>
      <c r="V68" s="27"/>
      <c r="W68" s="28"/>
    </row>
    <row r="69" spans="1:25" s="83" customFormat="1" ht="15.6" customHeight="1" x14ac:dyDescent="0.25">
      <c r="A69" s="25"/>
      <c r="B69" s="37"/>
      <c r="C69" s="44"/>
      <c r="D69" s="34"/>
      <c r="E69" s="45"/>
      <c r="F69" s="46"/>
      <c r="G69" s="47" t="s">
        <v>17</v>
      </c>
      <c r="H69" s="47" t="s">
        <v>18</v>
      </c>
      <c r="I69" s="47" t="s">
        <v>19</v>
      </c>
      <c r="J69" s="44"/>
      <c r="K69" s="47" t="s">
        <v>20</v>
      </c>
      <c r="L69" s="48" t="s">
        <v>21</v>
      </c>
      <c r="M69" s="48" t="s">
        <v>22</v>
      </c>
      <c r="N69" s="48" t="s">
        <v>23</v>
      </c>
      <c r="O69" s="48" t="s">
        <v>24</v>
      </c>
      <c r="P69" s="48" t="s">
        <v>25</v>
      </c>
      <c r="Q69" s="48" t="s">
        <v>26</v>
      </c>
      <c r="R69" s="48" t="s">
        <v>27</v>
      </c>
      <c r="S69" s="48" t="s">
        <v>28</v>
      </c>
      <c r="T69" s="48" t="s">
        <v>29</v>
      </c>
      <c r="U69" s="48" t="s">
        <v>30</v>
      </c>
      <c r="V69" s="48" t="s">
        <v>31</v>
      </c>
      <c r="W69" s="48" t="s">
        <v>32</v>
      </c>
    </row>
    <row r="70" spans="1:25" s="1" customFormat="1" ht="15.6" customHeight="1" x14ac:dyDescent="0.25">
      <c r="A70" s="25"/>
      <c r="B70" s="42" t="s">
        <v>33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6"/>
    </row>
    <row r="71" spans="1:25" ht="59.25" x14ac:dyDescent="0.25">
      <c r="A71" s="25"/>
      <c r="B71" s="49" t="s">
        <v>71</v>
      </c>
      <c r="C71" s="50" t="s">
        <v>35</v>
      </c>
      <c r="D71" s="55" t="s">
        <v>72</v>
      </c>
      <c r="E71" s="56"/>
      <c r="F71" s="51">
        <v>80</v>
      </c>
      <c r="G71" s="57">
        <v>0.5</v>
      </c>
      <c r="H71" s="57">
        <v>4</v>
      </c>
      <c r="I71" s="57">
        <v>2.9</v>
      </c>
      <c r="J71" s="57">
        <v>49.7</v>
      </c>
      <c r="K71" s="57">
        <v>0.04</v>
      </c>
      <c r="L71" s="57">
        <v>0.04</v>
      </c>
      <c r="M71" s="57">
        <v>85.87</v>
      </c>
      <c r="N71" s="57">
        <v>0.27</v>
      </c>
      <c r="O71" s="57">
        <v>14.67</v>
      </c>
      <c r="P71" s="57">
        <v>124</v>
      </c>
      <c r="Q71" s="57">
        <v>177.33</v>
      </c>
      <c r="R71" s="57">
        <v>25.33</v>
      </c>
      <c r="S71" s="57">
        <v>13.33</v>
      </c>
      <c r="T71" s="57">
        <v>24</v>
      </c>
      <c r="U71" s="57">
        <v>0</v>
      </c>
      <c r="V71" s="57">
        <v>12.4</v>
      </c>
      <c r="W71" s="57">
        <v>0.27</v>
      </c>
      <c r="X71"/>
      <c r="Y71"/>
    </row>
    <row r="72" spans="1:25" s="31" customFormat="1" ht="63.75" x14ac:dyDescent="0.25">
      <c r="A72" s="25"/>
      <c r="B72" s="49" t="s">
        <v>73</v>
      </c>
      <c r="C72" s="59" t="s">
        <v>35</v>
      </c>
      <c r="D72" s="55" t="s">
        <v>74</v>
      </c>
      <c r="E72" s="56"/>
      <c r="F72" s="51">
        <v>250</v>
      </c>
      <c r="G72" s="57">
        <v>25.5</v>
      </c>
      <c r="H72" s="57">
        <v>19.8</v>
      </c>
      <c r="I72" s="57">
        <v>25.7</v>
      </c>
      <c r="J72" s="57">
        <v>382.7</v>
      </c>
      <c r="K72" s="57">
        <v>0.17</v>
      </c>
      <c r="L72" s="57">
        <v>0.2</v>
      </c>
      <c r="M72" s="57">
        <v>24</v>
      </c>
      <c r="N72" s="57">
        <v>3.8</v>
      </c>
      <c r="O72" s="57">
        <v>12</v>
      </c>
      <c r="P72" s="57">
        <v>227</v>
      </c>
      <c r="Q72" s="57">
        <v>1167</v>
      </c>
      <c r="R72" s="57">
        <v>30</v>
      </c>
      <c r="S72" s="57">
        <v>51</v>
      </c>
      <c r="T72" s="57">
        <v>297</v>
      </c>
      <c r="U72" s="57">
        <v>4</v>
      </c>
      <c r="V72" s="57">
        <v>26.1</v>
      </c>
      <c r="W72" s="57">
        <v>0.6</v>
      </c>
    </row>
    <row r="73" spans="1:25" s="31" customFormat="1" ht="15.75" x14ac:dyDescent="0.25">
      <c r="A73" s="25"/>
      <c r="B73" s="52" t="s">
        <v>39</v>
      </c>
      <c r="C73" s="150"/>
      <c r="D73" s="55" t="s">
        <v>40</v>
      </c>
      <c r="E73" s="56"/>
      <c r="F73" s="51">
        <v>40</v>
      </c>
      <c r="G73" s="57">
        <v>4.28</v>
      </c>
      <c r="H73" s="57">
        <v>1.8</v>
      </c>
      <c r="I73" s="57">
        <v>17.399999999999999</v>
      </c>
      <c r="J73" s="57">
        <v>109.6</v>
      </c>
      <c r="K73" s="57">
        <v>0.16400000000000001</v>
      </c>
      <c r="L73" s="57">
        <v>0.10100000000000001</v>
      </c>
      <c r="M73" s="57">
        <v>0</v>
      </c>
      <c r="N73" s="57">
        <v>2.2400000000000002</v>
      </c>
      <c r="O73" s="57">
        <v>0.08</v>
      </c>
      <c r="P73" s="57">
        <v>189.2</v>
      </c>
      <c r="Q73" s="57">
        <v>50</v>
      </c>
      <c r="R73" s="57">
        <v>1.96</v>
      </c>
      <c r="S73" s="57">
        <v>16.399999999999999</v>
      </c>
      <c r="T73" s="57">
        <v>51.6</v>
      </c>
      <c r="U73" s="57">
        <v>1.44</v>
      </c>
      <c r="V73" s="57">
        <v>0</v>
      </c>
      <c r="W73" s="57">
        <v>11.52</v>
      </c>
    </row>
    <row r="74" spans="1:25" s="31" customFormat="1" ht="15.75" x14ac:dyDescent="0.25">
      <c r="A74" s="25"/>
      <c r="B74" s="52" t="s">
        <v>39</v>
      </c>
      <c r="C74" s="154"/>
      <c r="D74" s="55" t="s">
        <v>41</v>
      </c>
      <c r="E74" s="56"/>
      <c r="F74" s="51">
        <v>40</v>
      </c>
      <c r="G74" s="57">
        <v>3.4</v>
      </c>
      <c r="H74" s="57">
        <v>1.32</v>
      </c>
      <c r="I74" s="57">
        <v>17</v>
      </c>
      <c r="J74" s="57">
        <v>103.6</v>
      </c>
      <c r="K74" s="57">
        <v>0.17</v>
      </c>
      <c r="L74" s="57">
        <v>0.13</v>
      </c>
      <c r="M74" s="57">
        <v>0</v>
      </c>
      <c r="N74" s="57">
        <v>1.52</v>
      </c>
      <c r="O74" s="57">
        <v>0.16</v>
      </c>
      <c r="P74" s="57">
        <v>241.2</v>
      </c>
      <c r="Q74" s="57">
        <v>29.2</v>
      </c>
      <c r="R74" s="57">
        <v>0.48</v>
      </c>
      <c r="S74" s="57">
        <v>16</v>
      </c>
      <c r="T74" s="57">
        <v>50</v>
      </c>
      <c r="U74" s="57">
        <v>1.1299999999999999</v>
      </c>
      <c r="V74" s="57">
        <v>0</v>
      </c>
      <c r="W74" s="57">
        <v>12.36</v>
      </c>
    </row>
    <row r="75" spans="1:25" s="31" customFormat="1" ht="59.25" x14ac:dyDescent="0.25">
      <c r="A75" s="25"/>
      <c r="B75" s="49" t="s">
        <v>42</v>
      </c>
      <c r="C75" s="50" t="s">
        <v>35</v>
      </c>
      <c r="D75" s="55" t="s">
        <v>43</v>
      </c>
      <c r="E75" s="56"/>
      <c r="F75" s="51">
        <v>200</v>
      </c>
      <c r="G75" s="57">
        <v>3.8</v>
      </c>
      <c r="H75" s="57">
        <v>3.5</v>
      </c>
      <c r="I75" s="57">
        <v>11.1</v>
      </c>
      <c r="J75" s="57">
        <v>90.8</v>
      </c>
      <c r="K75" s="57">
        <v>0.02</v>
      </c>
      <c r="L75" s="57">
        <v>0.11</v>
      </c>
      <c r="M75" s="57">
        <v>12</v>
      </c>
      <c r="N75" s="57">
        <v>0.2</v>
      </c>
      <c r="O75" s="57">
        <v>0</v>
      </c>
      <c r="P75" s="57">
        <v>51</v>
      </c>
      <c r="Q75" s="57">
        <v>221</v>
      </c>
      <c r="R75" s="57">
        <v>112</v>
      </c>
      <c r="S75" s="57">
        <v>30</v>
      </c>
      <c r="T75" s="57">
        <v>107</v>
      </c>
      <c r="U75" s="57">
        <v>1</v>
      </c>
      <c r="V75" s="57">
        <v>9</v>
      </c>
      <c r="W75" s="57">
        <v>1.8</v>
      </c>
    </row>
    <row r="76" spans="1:25" s="31" customFormat="1" ht="15.6" customHeight="1" x14ac:dyDescent="0.25">
      <c r="A76" s="25"/>
      <c r="B76" s="49" t="s">
        <v>39</v>
      </c>
      <c r="C76" s="59"/>
      <c r="D76" s="55" t="s">
        <v>75</v>
      </c>
      <c r="E76" s="56"/>
      <c r="F76" s="51">
        <v>75</v>
      </c>
      <c r="G76" s="57">
        <v>3.2</v>
      </c>
      <c r="H76" s="57">
        <v>7.7</v>
      </c>
      <c r="I76" s="57">
        <v>34</v>
      </c>
      <c r="J76" s="57">
        <v>211.2</v>
      </c>
      <c r="K76" s="57">
        <v>0.47</v>
      </c>
      <c r="L76" s="57">
        <v>0.56999999999999995</v>
      </c>
      <c r="M76" s="57">
        <v>2.1</v>
      </c>
      <c r="N76" s="57">
        <v>1.26</v>
      </c>
      <c r="O76" s="57">
        <v>0.15</v>
      </c>
      <c r="P76" s="57">
        <v>10.16</v>
      </c>
      <c r="Q76" s="57">
        <v>82.49</v>
      </c>
      <c r="R76" s="57">
        <v>37.729999999999997</v>
      </c>
      <c r="S76" s="57">
        <v>6.95</v>
      </c>
      <c r="T76" s="57">
        <v>43.7</v>
      </c>
      <c r="U76" s="57">
        <v>0.81</v>
      </c>
      <c r="V76" s="57">
        <v>1.44</v>
      </c>
      <c r="W76" s="57">
        <v>1.37</v>
      </c>
    </row>
    <row r="77" spans="1:25" s="31" customFormat="1" ht="39.6" customHeight="1" x14ac:dyDescent="0.25">
      <c r="A77" s="25"/>
      <c r="B77" s="68"/>
      <c r="C77" s="69"/>
      <c r="D77" s="70" t="s">
        <v>46</v>
      </c>
      <c r="E77" s="71"/>
      <c r="F77" s="48">
        <f>SUM(F71:F76)</f>
        <v>685</v>
      </c>
      <c r="G77" s="92">
        <f t="shared" ref="G77:W77" si="3">SUM(G71:G76)</f>
        <v>40.68</v>
      </c>
      <c r="H77" s="92">
        <f t="shared" si="3"/>
        <v>38.120000000000005</v>
      </c>
      <c r="I77" s="92">
        <f t="shared" si="3"/>
        <v>108.1</v>
      </c>
      <c r="J77" s="92">
        <f t="shared" si="3"/>
        <v>947.59999999999991</v>
      </c>
      <c r="K77" s="92">
        <f t="shared" si="3"/>
        <v>1.034</v>
      </c>
      <c r="L77" s="92">
        <f t="shared" si="3"/>
        <v>1.151</v>
      </c>
      <c r="M77" s="92">
        <f t="shared" si="3"/>
        <v>123.97</v>
      </c>
      <c r="N77" s="92">
        <f t="shared" si="3"/>
        <v>9.2899999999999991</v>
      </c>
      <c r="O77" s="92">
        <f t="shared" si="3"/>
        <v>27.06</v>
      </c>
      <c r="P77" s="92">
        <f t="shared" si="3"/>
        <v>842.56000000000006</v>
      </c>
      <c r="Q77" s="92">
        <f t="shared" si="3"/>
        <v>1727.02</v>
      </c>
      <c r="R77" s="92">
        <f t="shared" si="3"/>
        <v>207.49999999999997</v>
      </c>
      <c r="S77" s="92">
        <f t="shared" si="3"/>
        <v>133.67999999999998</v>
      </c>
      <c r="T77" s="92">
        <f t="shared" si="3"/>
        <v>573.30000000000007</v>
      </c>
      <c r="U77" s="92">
        <f t="shared" si="3"/>
        <v>8.379999999999999</v>
      </c>
      <c r="V77" s="92">
        <f t="shared" si="3"/>
        <v>48.94</v>
      </c>
      <c r="W77" s="92">
        <f t="shared" si="3"/>
        <v>27.92</v>
      </c>
    </row>
    <row r="78" spans="1:25" ht="15.75" x14ac:dyDescent="0.25">
      <c r="A78" s="53"/>
      <c r="B78" s="73"/>
      <c r="C78" s="74"/>
      <c r="D78" s="75"/>
      <c r="E78" s="75"/>
      <c r="F78" s="76"/>
      <c r="G78" s="77"/>
      <c r="H78" s="77"/>
      <c r="I78" s="77"/>
      <c r="J78" s="77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/>
      <c r="Y78"/>
    </row>
    <row r="79" spans="1:25" s="31" customFormat="1" ht="49.9" customHeight="1" x14ac:dyDescent="0.25">
      <c r="A79" s="53"/>
      <c r="B79" s="73"/>
      <c r="C79" s="74"/>
      <c r="D79" s="75"/>
      <c r="E79" s="75"/>
      <c r="F79" s="78"/>
      <c r="G79" s="78"/>
      <c r="H79" s="78"/>
      <c r="I79" s="78"/>
      <c r="J79" s="77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</row>
    <row r="80" spans="1:25" s="31" customFormat="1" ht="51" customHeight="1" x14ac:dyDescent="0.25">
      <c r="A80" s="25"/>
      <c r="B80" s="26" t="s">
        <v>7</v>
      </c>
      <c r="C80" s="27"/>
      <c r="D80" s="27"/>
      <c r="E80" s="28"/>
      <c r="F80" s="94"/>
      <c r="G80" s="94"/>
      <c r="H80" s="94"/>
      <c r="I80" s="94"/>
      <c r="J80" s="95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1:25" s="31" customFormat="1" ht="32.450000000000003" customHeight="1" x14ac:dyDescent="0.25">
      <c r="A81" s="25"/>
      <c r="B81" s="32" t="s">
        <v>76</v>
      </c>
      <c r="C81" s="32"/>
      <c r="D81" s="33"/>
      <c r="E81" s="42" t="s">
        <v>123</v>
      </c>
      <c r="F81" s="35"/>
      <c r="G81" s="35"/>
      <c r="H81" s="35"/>
      <c r="I81" s="36"/>
      <c r="J81" s="33"/>
      <c r="K81" s="33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5" s="31" customFormat="1" ht="33" customHeight="1" x14ac:dyDescent="0.25">
      <c r="A82" s="25"/>
      <c r="B82" s="37" t="s">
        <v>9</v>
      </c>
      <c r="C82" s="38" t="s">
        <v>10</v>
      </c>
      <c r="D82" s="39" t="s">
        <v>11</v>
      </c>
      <c r="E82" s="40"/>
      <c r="F82" s="41" t="s">
        <v>12</v>
      </c>
      <c r="G82" s="42" t="s">
        <v>13</v>
      </c>
      <c r="H82" s="35"/>
      <c r="I82" s="35"/>
      <c r="J82" s="38" t="s">
        <v>14</v>
      </c>
      <c r="K82" s="42" t="s">
        <v>15</v>
      </c>
      <c r="L82" s="35"/>
      <c r="M82" s="35"/>
      <c r="N82" s="35"/>
      <c r="O82" s="36"/>
      <c r="P82" s="26" t="s">
        <v>16</v>
      </c>
      <c r="Q82" s="27"/>
      <c r="R82" s="27"/>
      <c r="S82" s="27"/>
      <c r="T82" s="27"/>
      <c r="U82" s="27"/>
      <c r="V82" s="27"/>
      <c r="W82" s="28"/>
    </row>
    <row r="83" spans="1:25" s="31" customFormat="1" ht="67.900000000000006" customHeight="1" x14ac:dyDescent="0.25">
      <c r="A83" s="25"/>
      <c r="B83" s="37"/>
      <c r="C83" s="44"/>
      <c r="D83" s="34"/>
      <c r="E83" s="45"/>
      <c r="F83" s="46"/>
      <c r="G83" s="47" t="s">
        <v>17</v>
      </c>
      <c r="H83" s="47" t="s">
        <v>18</v>
      </c>
      <c r="I83" s="47" t="s">
        <v>19</v>
      </c>
      <c r="J83" s="44"/>
      <c r="K83" s="47" t="s">
        <v>20</v>
      </c>
      <c r="L83" s="48" t="s">
        <v>21</v>
      </c>
      <c r="M83" s="48" t="s">
        <v>22</v>
      </c>
      <c r="N83" s="48" t="s">
        <v>23</v>
      </c>
      <c r="O83" s="48" t="s">
        <v>24</v>
      </c>
      <c r="P83" s="48" t="s">
        <v>25</v>
      </c>
      <c r="Q83" s="48" t="s">
        <v>26</v>
      </c>
      <c r="R83" s="48" t="s">
        <v>27</v>
      </c>
      <c r="S83" s="48" t="s">
        <v>28</v>
      </c>
      <c r="T83" s="48" t="s">
        <v>29</v>
      </c>
      <c r="U83" s="48" t="s">
        <v>30</v>
      </c>
      <c r="V83" s="48" t="s">
        <v>31</v>
      </c>
      <c r="W83" s="48" t="s">
        <v>32</v>
      </c>
    </row>
    <row r="84" spans="1:25" s="31" customFormat="1" ht="37.15" customHeight="1" x14ac:dyDescent="0.25">
      <c r="A84" s="25"/>
      <c r="B84" s="42" t="s">
        <v>33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6"/>
    </row>
    <row r="85" spans="1:25" s="31" customFormat="1" ht="16.5" customHeight="1" x14ac:dyDescent="0.25">
      <c r="A85" s="25"/>
      <c r="B85" s="49" t="s">
        <v>77</v>
      </c>
      <c r="C85" s="50" t="s">
        <v>35</v>
      </c>
      <c r="D85" s="55" t="s">
        <v>78</v>
      </c>
      <c r="E85" s="56"/>
      <c r="F85" s="51">
        <v>90</v>
      </c>
      <c r="G85" s="57">
        <v>2.25</v>
      </c>
      <c r="H85" s="57">
        <v>9</v>
      </c>
      <c r="I85" s="57">
        <v>10.199999999999999</v>
      </c>
      <c r="J85" s="57">
        <v>131.1</v>
      </c>
      <c r="K85" s="57">
        <v>0.06</v>
      </c>
      <c r="L85" s="57">
        <v>0.06</v>
      </c>
      <c r="M85" s="57">
        <v>143.25</v>
      </c>
      <c r="N85" s="57">
        <v>0.6</v>
      </c>
      <c r="O85" s="57">
        <v>58.5</v>
      </c>
      <c r="P85" s="57">
        <v>130.5</v>
      </c>
      <c r="Q85" s="57">
        <v>243</v>
      </c>
      <c r="R85" s="57">
        <v>63</v>
      </c>
      <c r="S85" s="57">
        <v>22.5</v>
      </c>
      <c r="T85" s="57">
        <v>43.5</v>
      </c>
      <c r="U85" s="57">
        <v>1.5</v>
      </c>
      <c r="V85" s="57">
        <v>16.05</v>
      </c>
      <c r="W85" s="57">
        <v>0.3</v>
      </c>
    </row>
    <row r="86" spans="1:25" ht="19.899999999999999" customHeight="1" x14ac:dyDescent="0.25">
      <c r="A86" s="25"/>
      <c r="B86" s="49">
        <v>40</v>
      </c>
      <c r="C86" s="59" t="s">
        <v>59</v>
      </c>
      <c r="D86" s="55" t="s">
        <v>79</v>
      </c>
      <c r="E86" s="56"/>
      <c r="F86" s="51">
        <v>300</v>
      </c>
      <c r="G86" s="57">
        <v>9.92</v>
      </c>
      <c r="H86" s="57">
        <v>9.9</v>
      </c>
      <c r="I86" s="57">
        <v>23.28</v>
      </c>
      <c r="J86" s="57">
        <v>224</v>
      </c>
      <c r="K86" s="57">
        <v>0.11</v>
      </c>
      <c r="L86" s="57">
        <v>0.13</v>
      </c>
      <c r="M86" s="57">
        <v>12.74</v>
      </c>
      <c r="N86" s="57">
        <v>3.44</v>
      </c>
      <c r="O86" s="57">
        <v>8.4</v>
      </c>
      <c r="P86" s="57">
        <v>177.6</v>
      </c>
      <c r="Q86" s="57">
        <v>113.6</v>
      </c>
      <c r="R86" s="57">
        <v>24.57</v>
      </c>
      <c r="S86" s="57">
        <v>36.409999999999997</v>
      </c>
      <c r="T86" s="57">
        <v>165.76</v>
      </c>
      <c r="U86" s="57">
        <v>2.06</v>
      </c>
      <c r="V86" s="57">
        <v>0</v>
      </c>
      <c r="W86" s="57">
        <v>0</v>
      </c>
      <c r="X86"/>
      <c r="Y86"/>
    </row>
    <row r="87" spans="1:25" ht="18.75" customHeight="1" x14ac:dyDescent="0.25">
      <c r="A87" s="25"/>
      <c r="B87" s="49" t="s">
        <v>80</v>
      </c>
      <c r="C87" s="59" t="s">
        <v>35</v>
      </c>
      <c r="D87" s="96" t="s">
        <v>81</v>
      </c>
      <c r="E87" s="96"/>
      <c r="F87" s="51">
        <v>200</v>
      </c>
      <c r="G87" s="57">
        <v>4.8</v>
      </c>
      <c r="H87" s="57">
        <v>7</v>
      </c>
      <c r="I87" s="57">
        <v>50.7</v>
      </c>
      <c r="J87" s="57">
        <v>284.7</v>
      </c>
      <c r="K87" s="57">
        <v>0.04</v>
      </c>
      <c r="L87" s="57">
        <v>0.02</v>
      </c>
      <c r="M87" s="57">
        <v>27</v>
      </c>
      <c r="N87" s="57">
        <v>0.9</v>
      </c>
      <c r="O87" s="57">
        <v>0</v>
      </c>
      <c r="P87" s="57">
        <v>275</v>
      </c>
      <c r="Q87" s="57">
        <v>41</v>
      </c>
      <c r="R87" s="57">
        <v>20</v>
      </c>
      <c r="S87" s="57">
        <v>14</v>
      </c>
      <c r="T87" s="57">
        <v>62</v>
      </c>
      <c r="U87" s="57">
        <v>1</v>
      </c>
      <c r="V87" s="57">
        <v>26.7</v>
      </c>
      <c r="W87" s="57">
        <v>9.6999999999999993</v>
      </c>
      <c r="X87"/>
      <c r="Y87"/>
    </row>
    <row r="88" spans="1:25" s="31" customFormat="1" ht="19.149999999999999" customHeight="1" x14ac:dyDescent="0.25">
      <c r="A88" s="53"/>
      <c r="B88" s="49" t="s">
        <v>82</v>
      </c>
      <c r="C88" s="91" t="s">
        <v>35</v>
      </c>
      <c r="D88" s="55" t="s">
        <v>83</v>
      </c>
      <c r="E88" s="56"/>
      <c r="F88" s="51">
        <v>100</v>
      </c>
      <c r="G88" s="57">
        <v>13.9</v>
      </c>
      <c r="H88" s="57">
        <v>7.3</v>
      </c>
      <c r="I88" s="57">
        <v>6.4</v>
      </c>
      <c r="J88" s="57">
        <v>146.6</v>
      </c>
      <c r="K88" s="57">
        <v>7.0000000000000007E-2</v>
      </c>
      <c r="L88" s="57">
        <v>0.11</v>
      </c>
      <c r="M88" s="57">
        <v>60</v>
      </c>
      <c r="N88" s="57">
        <v>1</v>
      </c>
      <c r="O88" s="57">
        <v>1.4</v>
      </c>
      <c r="P88" s="57">
        <v>130</v>
      </c>
      <c r="Q88" s="57">
        <v>457.1</v>
      </c>
      <c r="R88" s="57">
        <v>21.4</v>
      </c>
      <c r="S88" s="57">
        <v>54.3</v>
      </c>
      <c r="T88" s="57">
        <v>27.1</v>
      </c>
      <c r="U88" s="57">
        <v>0</v>
      </c>
      <c r="V88" s="57">
        <v>143.6</v>
      </c>
      <c r="W88" s="57">
        <v>12.1</v>
      </c>
    </row>
    <row r="89" spans="1:25" s="31" customFormat="1" ht="19.899999999999999" customHeight="1" x14ac:dyDescent="0.25">
      <c r="A89" s="25"/>
      <c r="B89" s="52" t="s">
        <v>39</v>
      </c>
      <c r="C89" s="58"/>
      <c r="D89" s="55" t="s">
        <v>40</v>
      </c>
      <c r="E89" s="56"/>
      <c r="F89" s="51">
        <v>45</v>
      </c>
      <c r="G89" s="57">
        <f>4.28/40*45</f>
        <v>4.8150000000000004</v>
      </c>
      <c r="H89" s="57">
        <f>1.8/40*45</f>
        <v>2.0249999999999999</v>
      </c>
      <c r="I89" s="57">
        <f>17.4/40*45</f>
        <v>19.574999999999996</v>
      </c>
      <c r="J89" s="57">
        <f>109.6/40*45</f>
        <v>123.29999999999998</v>
      </c>
      <c r="K89" s="57">
        <f>0.164/40*45</f>
        <v>0.18450000000000003</v>
      </c>
      <c r="L89" s="57">
        <f>0.101/40*45</f>
        <v>0.11362500000000002</v>
      </c>
      <c r="M89" s="57">
        <v>0</v>
      </c>
      <c r="N89" s="57">
        <f>2.24/40*45</f>
        <v>2.5200000000000005</v>
      </c>
      <c r="O89" s="57">
        <f>0.06/30*45</f>
        <v>0.09</v>
      </c>
      <c r="P89" s="57">
        <f>189.2/40*45</f>
        <v>212.84999999999997</v>
      </c>
      <c r="Q89" s="57">
        <f>50/40*45</f>
        <v>56.25</v>
      </c>
      <c r="R89" s="57">
        <f>1.96/40*45</f>
        <v>2.2050000000000001</v>
      </c>
      <c r="S89" s="57">
        <f>16.4/40*45</f>
        <v>18.45</v>
      </c>
      <c r="T89" s="57">
        <f>51.6/40*45</f>
        <v>58.050000000000004</v>
      </c>
      <c r="U89" s="57">
        <f>1.44/40*45</f>
        <v>1.6199999999999999</v>
      </c>
      <c r="V89" s="57">
        <v>0</v>
      </c>
      <c r="W89" s="57">
        <f>11.52/40*45</f>
        <v>12.959999999999999</v>
      </c>
    </row>
    <row r="90" spans="1:25" s="31" customFormat="1" ht="22.9" customHeight="1" x14ac:dyDescent="0.25">
      <c r="A90" s="25"/>
      <c r="B90" s="52" t="s">
        <v>39</v>
      </c>
      <c r="C90" s="50"/>
      <c r="D90" s="55" t="s">
        <v>41</v>
      </c>
      <c r="E90" s="56"/>
      <c r="F90" s="51">
        <v>45</v>
      </c>
      <c r="G90" s="57">
        <f>3.4/40*45</f>
        <v>3.8249999999999997</v>
      </c>
      <c r="H90" s="57">
        <f>1.32/40*45</f>
        <v>1.4850000000000001</v>
      </c>
      <c r="I90" s="57">
        <f>17/40*45</f>
        <v>19.125</v>
      </c>
      <c r="J90" s="57">
        <f>103.6/40*45</f>
        <v>116.55</v>
      </c>
      <c r="K90" s="57">
        <f>0.17/40*45</f>
        <v>0.19125</v>
      </c>
      <c r="L90" s="57">
        <f>0.13/40*45</f>
        <v>0.14625000000000002</v>
      </c>
      <c r="M90" s="57">
        <v>0</v>
      </c>
      <c r="N90" s="57">
        <f>1.52/40*45</f>
        <v>1.71</v>
      </c>
      <c r="O90" s="57">
        <f>0.16/40*45</f>
        <v>0.18</v>
      </c>
      <c r="P90" s="57">
        <f>241.2/40*45</f>
        <v>271.34999999999997</v>
      </c>
      <c r="Q90" s="57">
        <f>29.2/40*45</f>
        <v>32.85</v>
      </c>
      <c r="R90" s="57">
        <f>0.48/40*45</f>
        <v>0.54</v>
      </c>
      <c r="S90" s="57">
        <f>16/40*45</f>
        <v>18</v>
      </c>
      <c r="T90" s="57">
        <f>50/40*45</f>
        <v>56.25</v>
      </c>
      <c r="U90" s="57">
        <f>1.13/40*45</f>
        <v>1.2712499999999998</v>
      </c>
      <c r="V90" s="57">
        <v>0</v>
      </c>
      <c r="W90" s="57">
        <f>12.36/40*45</f>
        <v>13.904999999999999</v>
      </c>
    </row>
    <row r="91" spans="1:25" s="31" customFormat="1" ht="59.25" x14ac:dyDescent="0.25">
      <c r="A91" s="25"/>
      <c r="B91" s="49" t="s">
        <v>84</v>
      </c>
      <c r="C91" s="50" t="s">
        <v>35</v>
      </c>
      <c r="D91" s="55" t="s">
        <v>85</v>
      </c>
      <c r="E91" s="56"/>
      <c r="F91" s="51">
        <v>200</v>
      </c>
      <c r="G91" s="57">
        <v>0.6</v>
      </c>
      <c r="H91" s="57">
        <v>0</v>
      </c>
      <c r="I91" s="57">
        <v>22.7</v>
      </c>
      <c r="J91" s="57">
        <v>93.2</v>
      </c>
      <c r="K91" s="57">
        <v>0</v>
      </c>
      <c r="L91" s="57">
        <v>18.3</v>
      </c>
      <c r="M91" s="57">
        <v>0.06</v>
      </c>
      <c r="N91" s="57">
        <v>0</v>
      </c>
      <c r="O91" s="57">
        <v>0</v>
      </c>
      <c r="P91" s="57">
        <v>0</v>
      </c>
      <c r="Q91" s="57">
        <v>0</v>
      </c>
      <c r="R91" s="57">
        <v>60</v>
      </c>
      <c r="S91" s="57">
        <v>3</v>
      </c>
      <c r="T91" s="57">
        <v>5</v>
      </c>
      <c r="U91" s="57">
        <v>0</v>
      </c>
      <c r="V91" s="57">
        <v>0</v>
      </c>
      <c r="W91" s="57">
        <v>0</v>
      </c>
    </row>
    <row r="92" spans="1:25" s="31" customFormat="1" ht="15.75" x14ac:dyDescent="0.25">
      <c r="A92" s="25"/>
      <c r="B92" s="68"/>
      <c r="C92" s="69"/>
      <c r="D92" s="70" t="s">
        <v>46</v>
      </c>
      <c r="E92" s="71"/>
      <c r="F92" s="48">
        <f t="shared" ref="F92:W92" si="4">SUM(F85:F91)</f>
        <v>980</v>
      </c>
      <c r="G92" s="156">
        <f t="shared" si="4"/>
        <v>40.11</v>
      </c>
      <c r="H92" s="156">
        <f t="shared" si="4"/>
        <v>36.709999999999994</v>
      </c>
      <c r="I92" s="156">
        <f t="shared" si="4"/>
        <v>151.97999999999999</v>
      </c>
      <c r="J92" s="156">
        <f t="shared" si="4"/>
        <v>1119.45</v>
      </c>
      <c r="K92" s="156">
        <f t="shared" si="4"/>
        <v>0.65575000000000006</v>
      </c>
      <c r="L92" s="156">
        <f t="shared" si="4"/>
        <v>18.879875000000002</v>
      </c>
      <c r="M92" s="156">
        <f t="shared" si="4"/>
        <v>243.05</v>
      </c>
      <c r="N92" s="156">
        <f t="shared" si="4"/>
        <v>10.170000000000002</v>
      </c>
      <c r="O92" s="156">
        <f t="shared" si="4"/>
        <v>68.570000000000022</v>
      </c>
      <c r="P92" s="156">
        <f t="shared" si="4"/>
        <v>1197.3</v>
      </c>
      <c r="Q92" s="156">
        <f t="shared" si="4"/>
        <v>943.80000000000007</v>
      </c>
      <c r="R92" s="156">
        <f t="shared" si="4"/>
        <v>191.715</v>
      </c>
      <c r="S92" s="156">
        <f t="shared" si="4"/>
        <v>166.66</v>
      </c>
      <c r="T92" s="156">
        <f t="shared" si="4"/>
        <v>417.66</v>
      </c>
      <c r="U92" s="156">
        <f t="shared" si="4"/>
        <v>7.4512499999999999</v>
      </c>
      <c r="V92" s="156">
        <f t="shared" si="4"/>
        <v>186.35</v>
      </c>
      <c r="W92" s="156">
        <f t="shared" si="4"/>
        <v>48.965000000000003</v>
      </c>
    </row>
    <row r="93" spans="1:25" s="31" customFormat="1" ht="35.450000000000003" customHeight="1" x14ac:dyDescent="0.25">
      <c r="A93" s="53"/>
      <c r="B93" s="73"/>
      <c r="C93" s="74"/>
      <c r="D93" s="75"/>
      <c r="E93" s="75"/>
      <c r="F93" s="8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</row>
    <row r="94" spans="1:25" ht="15.75" x14ac:dyDescent="0.25">
      <c r="A94" s="53"/>
      <c r="B94" s="73"/>
      <c r="C94" s="74"/>
      <c r="D94" s="75"/>
      <c r="E94" s="75"/>
      <c r="F94" s="8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/>
      <c r="Y94"/>
    </row>
    <row r="95" spans="1:25" s="31" customFormat="1" ht="52.9" customHeight="1" x14ac:dyDescent="0.25">
      <c r="A95" s="25"/>
      <c r="B95" s="26" t="s">
        <v>7</v>
      </c>
      <c r="C95" s="27"/>
      <c r="D95" s="27"/>
      <c r="E95" s="28"/>
      <c r="F95" s="97"/>
      <c r="G95" s="98"/>
      <c r="H95" s="98"/>
      <c r="I95" s="98"/>
      <c r="J95" s="29"/>
      <c r="K95" s="30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5" s="31" customFormat="1" ht="34.9" customHeight="1" x14ac:dyDescent="0.25">
      <c r="A96" s="25"/>
      <c r="B96" s="35" t="s">
        <v>86</v>
      </c>
      <c r="C96" s="35"/>
      <c r="D96" s="99"/>
      <c r="E96" s="42" t="s">
        <v>123</v>
      </c>
      <c r="F96" s="35"/>
      <c r="G96" s="35"/>
      <c r="H96" s="35"/>
      <c r="I96" s="36"/>
      <c r="J96" s="100"/>
      <c r="K96" s="101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5" s="31" customFormat="1" ht="52.9" customHeight="1" x14ac:dyDescent="0.25">
      <c r="A97" s="25"/>
      <c r="B97" s="37" t="s">
        <v>9</v>
      </c>
      <c r="C97" s="38" t="s">
        <v>10</v>
      </c>
      <c r="D97" s="39" t="s">
        <v>11</v>
      </c>
      <c r="E97" s="40"/>
      <c r="F97" s="41" t="s">
        <v>12</v>
      </c>
      <c r="G97" s="42" t="s">
        <v>13</v>
      </c>
      <c r="H97" s="35"/>
      <c r="I97" s="36"/>
      <c r="J97" s="38" t="s">
        <v>14</v>
      </c>
      <c r="K97" s="42" t="s">
        <v>15</v>
      </c>
      <c r="L97" s="35"/>
      <c r="M97" s="35"/>
      <c r="N97" s="35"/>
      <c r="O97" s="36"/>
      <c r="P97" s="26" t="s">
        <v>16</v>
      </c>
      <c r="Q97" s="27"/>
      <c r="R97" s="27"/>
      <c r="S97" s="27"/>
      <c r="T97" s="27"/>
      <c r="U97" s="27"/>
      <c r="V97" s="27"/>
      <c r="W97" s="28"/>
    </row>
    <row r="98" spans="1:25" s="31" customFormat="1" ht="64.900000000000006" customHeight="1" x14ac:dyDescent="0.25">
      <c r="A98" s="25"/>
      <c r="B98" s="37"/>
      <c r="C98" s="44"/>
      <c r="D98" s="34"/>
      <c r="E98" s="45"/>
      <c r="F98" s="46"/>
      <c r="G98" s="47" t="s">
        <v>17</v>
      </c>
      <c r="H98" s="47" t="s">
        <v>18</v>
      </c>
      <c r="I98" s="47" t="s">
        <v>19</v>
      </c>
      <c r="J98" s="44"/>
      <c r="K98" s="47" t="s">
        <v>20</v>
      </c>
      <c r="L98" s="48" t="s">
        <v>21</v>
      </c>
      <c r="M98" s="48" t="s">
        <v>22</v>
      </c>
      <c r="N98" s="48" t="s">
        <v>23</v>
      </c>
      <c r="O98" s="48" t="s">
        <v>24</v>
      </c>
      <c r="P98" s="48" t="s">
        <v>25</v>
      </c>
      <c r="Q98" s="48" t="s">
        <v>26</v>
      </c>
      <c r="R98" s="48" t="s">
        <v>27</v>
      </c>
      <c r="S98" s="48" t="s">
        <v>28</v>
      </c>
      <c r="T98" s="48" t="s">
        <v>29</v>
      </c>
      <c r="U98" s="48" t="s">
        <v>30</v>
      </c>
      <c r="V98" s="48" t="s">
        <v>31</v>
      </c>
      <c r="W98" s="48" t="s">
        <v>32</v>
      </c>
    </row>
    <row r="99" spans="1:25" s="31" customFormat="1" ht="32.450000000000003" customHeight="1" x14ac:dyDescent="0.25">
      <c r="A99" s="25"/>
      <c r="B99" s="42" t="s">
        <v>33</v>
      </c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6"/>
    </row>
    <row r="100" spans="1:25" s="31" customFormat="1" ht="33" customHeight="1" x14ac:dyDescent="0.25">
      <c r="A100" s="53"/>
      <c r="B100" s="102"/>
      <c r="C100" s="103"/>
      <c r="D100" s="104"/>
      <c r="E100" s="105"/>
      <c r="F100" s="106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</row>
    <row r="101" spans="1:25" s="31" customFormat="1" ht="50.45" customHeight="1" x14ac:dyDescent="0.25">
      <c r="A101" s="25"/>
      <c r="B101" s="49" t="s">
        <v>87</v>
      </c>
      <c r="C101" s="59" t="s">
        <v>35</v>
      </c>
      <c r="D101" s="89" t="s">
        <v>88</v>
      </c>
      <c r="E101" s="90"/>
      <c r="F101" s="51">
        <v>200</v>
      </c>
      <c r="G101" s="57">
        <v>6.7</v>
      </c>
      <c r="H101" s="57">
        <v>7.1</v>
      </c>
      <c r="I101" s="57">
        <v>46.6</v>
      </c>
      <c r="J101" s="57">
        <v>277.3</v>
      </c>
      <c r="K101" s="57">
        <v>0.08</v>
      </c>
      <c r="L101" s="57">
        <v>0.04</v>
      </c>
      <c r="M101" s="57">
        <v>27</v>
      </c>
      <c r="N101" s="57">
        <v>0.7</v>
      </c>
      <c r="O101" s="57">
        <v>0</v>
      </c>
      <c r="P101" s="57">
        <v>256</v>
      </c>
      <c r="Q101" s="57">
        <v>9</v>
      </c>
      <c r="R101" s="57">
        <v>79</v>
      </c>
      <c r="S101" s="57">
        <v>10</v>
      </c>
      <c r="T101" s="57">
        <v>52</v>
      </c>
      <c r="U101" s="57">
        <v>1</v>
      </c>
      <c r="V101" s="57">
        <v>26.7</v>
      </c>
      <c r="W101" s="57">
        <v>0.1</v>
      </c>
    </row>
    <row r="102" spans="1:25" s="31" customFormat="1" ht="17.25" customHeight="1" x14ac:dyDescent="0.25">
      <c r="A102" s="25"/>
      <c r="B102" s="49">
        <v>45</v>
      </c>
      <c r="C102" s="59" t="s">
        <v>89</v>
      </c>
      <c r="D102" s="55" t="s">
        <v>90</v>
      </c>
      <c r="E102" s="56"/>
      <c r="F102" s="51">
        <v>115</v>
      </c>
      <c r="G102" s="57">
        <v>13.3</v>
      </c>
      <c r="H102" s="57">
        <v>11.12</v>
      </c>
      <c r="I102" s="57">
        <v>15.77</v>
      </c>
      <c r="J102" s="57">
        <v>245.7</v>
      </c>
      <c r="K102" s="57">
        <v>0.1</v>
      </c>
      <c r="L102" s="57">
        <v>0.3</v>
      </c>
      <c r="M102" s="57">
        <v>31.2</v>
      </c>
      <c r="N102" s="57">
        <v>0.08</v>
      </c>
      <c r="O102" s="57">
        <v>0</v>
      </c>
      <c r="P102" s="57">
        <v>241.1</v>
      </c>
      <c r="Q102" s="57">
        <v>336.5</v>
      </c>
      <c r="R102" s="57">
        <v>25.4</v>
      </c>
      <c r="S102" s="57">
        <v>28.4</v>
      </c>
      <c r="T102" s="57">
        <v>254</v>
      </c>
      <c r="U102" s="57">
        <v>1.1000000000000001</v>
      </c>
      <c r="V102" s="57">
        <v>8</v>
      </c>
      <c r="W102" s="57">
        <v>30.56</v>
      </c>
    </row>
    <row r="103" spans="1:25" s="31" customFormat="1" ht="17.25" customHeight="1" x14ac:dyDescent="0.25">
      <c r="A103" s="25"/>
      <c r="B103" s="52" t="s">
        <v>39</v>
      </c>
      <c r="C103" s="150"/>
      <c r="D103" s="55" t="s">
        <v>40</v>
      </c>
      <c r="E103" s="56"/>
      <c r="F103" s="51">
        <v>40</v>
      </c>
      <c r="G103" s="57">
        <v>4.28</v>
      </c>
      <c r="H103" s="57">
        <v>1.8</v>
      </c>
      <c r="I103" s="57">
        <v>17.399999999999999</v>
      </c>
      <c r="J103" s="57">
        <v>109.6</v>
      </c>
      <c r="K103" s="57">
        <v>0.16400000000000001</v>
      </c>
      <c r="L103" s="57">
        <v>0.10100000000000001</v>
      </c>
      <c r="M103" s="57">
        <v>0</v>
      </c>
      <c r="N103" s="57">
        <v>2.2400000000000002</v>
      </c>
      <c r="O103" s="57">
        <v>0.08</v>
      </c>
      <c r="P103" s="57">
        <v>189.2</v>
      </c>
      <c r="Q103" s="57">
        <v>50</v>
      </c>
      <c r="R103" s="57">
        <v>1.96</v>
      </c>
      <c r="S103" s="57">
        <v>16.399999999999999</v>
      </c>
      <c r="T103" s="57">
        <v>51.6</v>
      </c>
      <c r="U103" s="57">
        <v>1.44</v>
      </c>
      <c r="V103" s="57">
        <v>0</v>
      </c>
      <c r="W103" s="57">
        <v>11.52</v>
      </c>
    </row>
    <row r="104" spans="1:25" ht="19.149999999999999" customHeight="1" x14ac:dyDescent="0.25">
      <c r="A104" s="25"/>
      <c r="B104" s="52" t="s">
        <v>39</v>
      </c>
      <c r="C104" s="154"/>
      <c r="D104" s="55" t="s">
        <v>41</v>
      </c>
      <c r="E104" s="56"/>
      <c r="F104" s="51">
        <v>40</v>
      </c>
      <c r="G104" s="57">
        <v>3.4</v>
      </c>
      <c r="H104" s="57">
        <v>1.32</v>
      </c>
      <c r="I104" s="57">
        <v>17</v>
      </c>
      <c r="J104" s="57">
        <v>103.6</v>
      </c>
      <c r="K104" s="57">
        <v>0.17</v>
      </c>
      <c r="L104" s="57">
        <v>0.13</v>
      </c>
      <c r="M104" s="57">
        <v>0</v>
      </c>
      <c r="N104" s="57">
        <v>1.52</v>
      </c>
      <c r="O104" s="57">
        <v>0.16</v>
      </c>
      <c r="P104" s="57">
        <v>241.2</v>
      </c>
      <c r="Q104" s="57">
        <v>29.2</v>
      </c>
      <c r="R104" s="57">
        <v>0.48</v>
      </c>
      <c r="S104" s="57">
        <v>16</v>
      </c>
      <c r="T104" s="57">
        <v>50</v>
      </c>
      <c r="U104" s="57">
        <v>1.1299999999999999</v>
      </c>
      <c r="V104" s="57">
        <v>0</v>
      </c>
      <c r="W104" s="57">
        <v>12.36</v>
      </c>
      <c r="X104"/>
      <c r="Y104"/>
    </row>
    <row r="105" spans="1:25" s="31" customFormat="1" ht="22.15" customHeight="1" x14ac:dyDescent="0.25">
      <c r="A105" s="25"/>
      <c r="B105" s="49" t="s">
        <v>91</v>
      </c>
      <c r="C105" s="50" t="s">
        <v>35</v>
      </c>
      <c r="D105" s="55" t="s">
        <v>92</v>
      </c>
      <c r="E105" s="56"/>
      <c r="F105" s="51">
        <v>200</v>
      </c>
      <c r="G105" s="57">
        <v>1.5</v>
      </c>
      <c r="H105" s="57">
        <v>1.4</v>
      </c>
      <c r="I105" s="57">
        <v>8.6</v>
      </c>
      <c r="J105" s="57">
        <v>52.9</v>
      </c>
      <c r="K105" s="57">
        <v>0</v>
      </c>
      <c r="L105" s="57">
        <v>0.06</v>
      </c>
      <c r="M105" s="57">
        <v>6</v>
      </c>
      <c r="N105" s="57">
        <v>0.1</v>
      </c>
      <c r="O105" s="57">
        <v>0</v>
      </c>
      <c r="P105" s="57">
        <v>26</v>
      </c>
      <c r="Q105" s="57">
        <v>98</v>
      </c>
      <c r="R105" s="57">
        <v>57</v>
      </c>
      <c r="S105" s="57">
        <v>10</v>
      </c>
      <c r="T105" s="57">
        <v>47</v>
      </c>
      <c r="U105" s="57">
        <v>1</v>
      </c>
      <c r="V105" s="57">
        <v>4.5</v>
      </c>
      <c r="W105" s="57">
        <v>0.9</v>
      </c>
    </row>
    <row r="106" spans="1:25" s="31" customFormat="1" ht="21" customHeight="1" x14ac:dyDescent="0.25">
      <c r="A106" s="25"/>
      <c r="B106" s="52" t="s">
        <v>39</v>
      </c>
      <c r="C106" s="69"/>
      <c r="D106" s="55" t="s">
        <v>93</v>
      </c>
      <c r="E106" s="56"/>
      <c r="F106" s="51">
        <v>100</v>
      </c>
      <c r="G106" s="57">
        <v>6.78</v>
      </c>
      <c r="H106" s="57">
        <v>13.96</v>
      </c>
      <c r="I106" s="57">
        <v>42.14</v>
      </c>
      <c r="J106" s="57">
        <v>321</v>
      </c>
      <c r="K106" s="57">
        <v>0.12</v>
      </c>
      <c r="L106" s="57">
        <v>0.06</v>
      </c>
      <c r="M106" s="57">
        <v>0</v>
      </c>
      <c r="N106" s="57">
        <v>2.29</v>
      </c>
      <c r="O106" s="57">
        <v>0</v>
      </c>
      <c r="P106" s="57">
        <v>0</v>
      </c>
      <c r="Q106" s="57">
        <v>98.8</v>
      </c>
      <c r="R106" s="57">
        <v>18.600000000000001</v>
      </c>
      <c r="S106" s="57">
        <v>26.2</v>
      </c>
      <c r="T106" s="57">
        <v>64.2</v>
      </c>
      <c r="U106" s="57">
        <v>1.2</v>
      </c>
      <c r="V106" s="57">
        <v>0</v>
      </c>
      <c r="W106" s="57">
        <v>0</v>
      </c>
    </row>
    <row r="107" spans="1:25" s="31" customFormat="1" ht="21" customHeight="1" x14ac:dyDescent="0.25">
      <c r="A107" s="25"/>
      <c r="B107" s="68"/>
      <c r="C107" s="69"/>
      <c r="D107" s="70" t="s">
        <v>46</v>
      </c>
      <c r="E107" s="71"/>
      <c r="F107" s="48">
        <f>SUM(F101:F106)</f>
        <v>695</v>
      </c>
      <c r="G107" s="92">
        <f t="shared" ref="G107:W107" si="5">SUM(G101:G106)</f>
        <v>35.96</v>
      </c>
      <c r="H107" s="92">
        <f t="shared" si="5"/>
        <v>36.700000000000003</v>
      </c>
      <c r="I107" s="92">
        <f t="shared" si="5"/>
        <v>147.51</v>
      </c>
      <c r="J107" s="92">
        <f t="shared" si="5"/>
        <v>1110.0999999999999</v>
      </c>
      <c r="K107" s="92">
        <f t="shared" si="5"/>
        <v>0.63400000000000001</v>
      </c>
      <c r="L107" s="92">
        <f t="shared" si="5"/>
        <v>0.69100000000000006</v>
      </c>
      <c r="M107" s="92">
        <f t="shared" si="5"/>
        <v>64.2</v>
      </c>
      <c r="N107" s="92">
        <f t="shared" si="5"/>
        <v>6.93</v>
      </c>
      <c r="O107" s="92">
        <f t="shared" si="5"/>
        <v>0.24</v>
      </c>
      <c r="P107" s="92">
        <f t="shared" si="5"/>
        <v>953.5</v>
      </c>
      <c r="Q107" s="92">
        <f t="shared" si="5"/>
        <v>621.5</v>
      </c>
      <c r="R107" s="92">
        <f t="shared" si="5"/>
        <v>182.44</v>
      </c>
      <c r="S107" s="92">
        <f t="shared" si="5"/>
        <v>107</v>
      </c>
      <c r="T107" s="92">
        <f t="shared" si="5"/>
        <v>518.80000000000007</v>
      </c>
      <c r="U107" s="92">
        <f t="shared" si="5"/>
        <v>6.87</v>
      </c>
      <c r="V107" s="92">
        <f t="shared" si="5"/>
        <v>39.200000000000003</v>
      </c>
      <c r="W107" s="92">
        <f t="shared" si="5"/>
        <v>55.44</v>
      </c>
    </row>
    <row r="108" spans="1:25" s="31" customFormat="1" ht="18.75" customHeight="1" x14ac:dyDescent="0.25">
      <c r="A108" s="25"/>
      <c r="B108" s="158"/>
      <c r="C108" s="159"/>
      <c r="D108" s="160"/>
      <c r="E108" s="160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</row>
    <row r="109" spans="1:25" s="31" customFormat="1" ht="18.75" customHeight="1" x14ac:dyDescent="0.25">
      <c r="A109" s="53"/>
      <c r="B109" s="73"/>
      <c r="C109" s="74"/>
      <c r="D109" s="75"/>
      <c r="E109" s="75"/>
      <c r="F109" s="76"/>
      <c r="G109" s="77"/>
      <c r="H109" s="77"/>
      <c r="I109" s="77"/>
      <c r="J109" s="86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</row>
    <row r="110" spans="1:25" s="31" customFormat="1" ht="41.45" customHeight="1" x14ac:dyDescent="0.25">
      <c r="A110" s="25"/>
      <c r="B110" s="162" t="s">
        <v>7</v>
      </c>
      <c r="C110" s="162"/>
      <c r="D110" s="162"/>
      <c r="E110" s="162"/>
      <c r="F110" s="115"/>
      <c r="G110" s="116"/>
      <c r="H110" s="116"/>
      <c r="I110" s="116"/>
      <c r="J110" s="117"/>
      <c r="K110" s="82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</row>
    <row r="111" spans="1:25" ht="23.25" customHeight="1" x14ac:dyDescent="0.25">
      <c r="A111" s="25"/>
      <c r="B111" s="35" t="s">
        <v>94</v>
      </c>
      <c r="C111" s="35"/>
      <c r="D111" s="99"/>
      <c r="E111" s="42" t="s">
        <v>124</v>
      </c>
      <c r="F111" s="35"/>
      <c r="G111" s="35"/>
      <c r="H111" s="35"/>
      <c r="I111" s="36"/>
      <c r="J111" s="100"/>
      <c r="K111" s="118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/>
      <c r="Y111"/>
    </row>
    <row r="112" spans="1:25" ht="20.25" customHeight="1" x14ac:dyDescent="0.25">
      <c r="A112" s="25"/>
      <c r="B112" s="37" t="s">
        <v>9</v>
      </c>
      <c r="C112" s="38" t="s">
        <v>10</v>
      </c>
      <c r="D112" s="39" t="s">
        <v>11</v>
      </c>
      <c r="E112" s="40"/>
      <c r="F112" s="38" t="s">
        <v>12</v>
      </c>
      <c r="G112" s="42" t="s">
        <v>13</v>
      </c>
      <c r="H112" s="35"/>
      <c r="I112" s="36"/>
      <c r="J112" s="38" t="s">
        <v>14</v>
      </c>
      <c r="K112" s="42" t="s">
        <v>15</v>
      </c>
      <c r="L112" s="35"/>
      <c r="M112" s="35"/>
      <c r="N112" s="35"/>
      <c r="O112" s="36"/>
      <c r="P112" s="26" t="s">
        <v>16</v>
      </c>
      <c r="Q112" s="27"/>
      <c r="R112" s="27"/>
      <c r="S112" s="27"/>
      <c r="T112" s="27"/>
      <c r="U112" s="27"/>
      <c r="V112" s="27"/>
      <c r="W112" s="28"/>
      <c r="X112"/>
      <c r="Y112"/>
    </row>
    <row r="113" spans="1:25" s="31" customFormat="1" ht="54.6" customHeight="1" x14ac:dyDescent="0.25">
      <c r="A113" s="25"/>
      <c r="B113" s="37"/>
      <c r="C113" s="44"/>
      <c r="D113" s="34"/>
      <c r="E113" s="45"/>
      <c r="F113" s="44"/>
      <c r="G113" s="47" t="s">
        <v>17</v>
      </c>
      <c r="H113" s="47" t="s">
        <v>18</v>
      </c>
      <c r="I113" s="47" t="s">
        <v>19</v>
      </c>
      <c r="J113" s="44"/>
      <c r="K113" s="47" t="s">
        <v>20</v>
      </c>
      <c r="L113" s="48" t="s">
        <v>21</v>
      </c>
      <c r="M113" s="48" t="s">
        <v>22</v>
      </c>
      <c r="N113" s="48" t="s">
        <v>23</v>
      </c>
      <c r="O113" s="48" t="s">
        <v>24</v>
      </c>
      <c r="P113" s="48" t="s">
        <v>25</v>
      </c>
      <c r="Q113" s="48" t="s">
        <v>26</v>
      </c>
      <c r="R113" s="48" t="s">
        <v>27</v>
      </c>
      <c r="S113" s="48" t="s">
        <v>28</v>
      </c>
      <c r="T113" s="48" t="s">
        <v>29</v>
      </c>
      <c r="U113" s="48" t="s">
        <v>30</v>
      </c>
      <c r="V113" s="48" t="s">
        <v>31</v>
      </c>
      <c r="W113" s="48" t="s">
        <v>32</v>
      </c>
    </row>
    <row r="114" spans="1:25" s="31" customFormat="1" ht="33.6" customHeight="1" x14ac:dyDescent="0.25">
      <c r="A114" s="25"/>
      <c r="B114" s="42" t="s">
        <v>33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6"/>
    </row>
    <row r="115" spans="1:25" s="31" customFormat="1" ht="32.450000000000003" customHeight="1" x14ac:dyDescent="0.25">
      <c r="B115" s="120" t="s">
        <v>95</v>
      </c>
      <c r="C115" s="121" t="s">
        <v>35</v>
      </c>
      <c r="D115" s="122" t="s">
        <v>96</v>
      </c>
      <c r="E115" s="123"/>
      <c r="F115" s="163">
        <v>80</v>
      </c>
      <c r="G115" s="124">
        <v>1</v>
      </c>
      <c r="H115" s="124">
        <v>7.1</v>
      </c>
      <c r="I115" s="124">
        <v>6</v>
      </c>
      <c r="J115" s="124">
        <v>91.8</v>
      </c>
      <c r="K115" s="124">
        <v>0.02</v>
      </c>
      <c r="L115" s="124">
        <v>0.01</v>
      </c>
      <c r="M115" s="124">
        <v>17.600000000000001</v>
      </c>
      <c r="N115" s="124">
        <v>0.2</v>
      </c>
      <c r="O115" s="124">
        <v>1</v>
      </c>
      <c r="P115" s="124">
        <v>94</v>
      </c>
      <c r="Q115" s="124">
        <v>172</v>
      </c>
      <c r="R115" s="124">
        <v>19</v>
      </c>
      <c r="S115" s="124">
        <v>12</v>
      </c>
      <c r="T115" s="124">
        <v>27</v>
      </c>
      <c r="U115" s="124">
        <v>0</v>
      </c>
      <c r="V115" s="124">
        <v>10.5</v>
      </c>
      <c r="W115" s="124">
        <v>0.2</v>
      </c>
    </row>
    <row r="116" spans="1:25" s="31" customFormat="1" ht="33" customHeight="1" x14ac:dyDescent="0.25">
      <c r="A116" s="25"/>
      <c r="B116" s="49" t="s">
        <v>97</v>
      </c>
      <c r="C116" s="50" t="s">
        <v>35</v>
      </c>
      <c r="D116" s="96" t="s">
        <v>98</v>
      </c>
      <c r="E116" s="96"/>
      <c r="F116" s="51">
        <v>210</v>
      </c>
      <c r="G116" s="57">
        <v>5.04</v>
      </c>
      <c r="H116" s="57">
        <v>6.93</v>
      </c>
      <c r="I116" s="57">
        <v>22.05</v>
      </c>
      <c r="J116" s="57">
        <v>170.8</v>
      </c>
      <c r="K116" s="57">
        <v>0.11</v>
      </c>
      <c r="L116" s="57">
        <v>0.08</v>
      </c>
      <c r="M116" s="57">
        <v>200.6</v>
      </c>
      <c r="N116" s="57">
        <v>0.9</v>
      </c>
      <c r="O116" s="57">
        <v>48.3</v>
      </c>
      <c r="P116" s="57">
        <v>329.7</v>
      </c>
      <c r="Q116" s="57">
        <v>467.3</v>
      </c>
      <c r="R116" s="57">
        <v>118.7</v>
      </c>
      <c r="S116" s="57">
        <v>38.9</v>
      </c>
      <c r="T116" s="57">
        <v>87.2</v>
      </c>
      <c r="U116" s="57">
        <v>2.1</v>
      </c>
      <c r="V116" s="57">
        <v>35.700000000000003</v>
      </c>
      <c r="W116" s="57">
        <v>1.5</v>
      </c>
    </row>
    <row r="117" spans="1:25" s="31" customFormat="1" ht="52.15" customHeight="1" x14ac:dyDescent="0.25">
      <c r="A117" s="25"/>
      <c r="B117" s="49" t="s">
        <v>57</v>
      </c>
      <c r="C117" s="59" t="s">
        <v>35</v>
      </c>
      <c r="D117" s="55" t="s">
        <v>58</v>
      </c>
      <c r="E117" s="56"/>
      <c r="F117" s="51">
        <v>100</v>
      </c>
      <c r="G117" s="57">
        <v>14.7</v>
      </c>
      <c r="H117" s="57">
        <v>12.2</v>
      </c>
      <c r="I117" s="57">
        <v>8.6</v>
      </c>
      <c r="J117" s="57">
        <v>203.1</v>
      </c>
      <c r="K117" s="57">
        <v>0.04</v>
      </c>
      <c r="L117" s="57">
        <v>0.1</v>
      </c>
      <c r="M117" s="57">
        <v>1.7</v>
      </c>
      <c r="N117" s="57">
        <v>1.9</v>
      </c>
      <c r="O117" s="57">
        <v>0</v>
      </c>
      <c r="P117" s="57">
        <v>268.89999999999998</v>
      </c>
      <c r="Q117" s="57">
        <v>282.2</v>
      </c>
      <c r="R117" s="57">
        <v>26.7</v>
      </c>
      <c r="S117" s="57">
        <v>18.899999999999999</v>
      </c>
      <c r="T117" s="57">
        <v>156.69999999999999</v>
      </c>
      <c r="U117" s="57">
        <v>2.2000000000000002</v>
      </c>
      <c r="V117" s="57">
        <v>29.7</v>
      </c>
      <c r="W117" s="57">
        <v>1.6</v>
      </c>
    </row>
    <row r="118" spans="1:25" s="31" customFormat="1" ht="57.6" customHeight="1" x14ac:dyDescent="0.25">
      <c r="A118" s="25"/>
      <c r="B118" s="52" t="s">
        <v>39</v>
      </c>
      <c r="C118" s="58"/>
      <c r="D118" s="55" t="s">
        <v>40</v>
      </c>
      <c r="E118" s="56"/>
      <c r="F118" s="51">
        <v>60</v>
      </c>
      <c r="G118" s="57">
        <f>4.28/40*60</f>
        <v>6.4200000000000008</v>
      </c>
      <c r="H118" s="57">
        <f>1.8/40*60</f>
        <v>2.6999999999999997</v>
      </c>
      <c r="I118" s="57">
        <f>17.4/40*60</f>
        <v>26.099999999999998</v>
      </c>
      <c r="J118" s="57">
        <f>109.6/40*60</f>
        <v>164.39999999999998</v>
      </c>
      <c r="K118" s="57">
        <f>0.164/40*60</f>
        <v>0.24600000000000002</v>
      </c>
      <c r="L118" s="57">
        <f>0.101/40*60</f>
        <v>0.15150000000000002</v>
      </c>
      <c r="M118" s="57">
        <v>0</v>
      </c>
      <c r="N118" s="57">
        <f>2.24/40*60</f>
        <v>3.3600000000000003</v>
      </c>
      <c r="O118" s="57">
        <f>0.06/30*60</f>
        <v>0.12</v>
      </c>
      <c r="P118" s="57">
        <f>189.2/40*60</f>
        <v>283.79999999999995</v>
      </c>
      <c r="Q118" s="57">
        <f>50/40*60</f>
        <v>75</v>
      </c>
      <c r="R118" s="57">
        <f>1.96/40*60</f>
        <v>2.94</v>
      </c>
      <c r="S118" s="57">
        <f>16.4/40*60</f>
        <v>24.599999999999998</v>
      </c>
      <c r="T118" s="57">
        <f>51.6/40*60</f>
        <v>77.400000000000006</v>
      </c>
      <c r="U118" s="57">
        <f>1.44/40*60</f>
        <v>2.1599999999999997</v>
      </c>
      <c r="V118" s="57">
        <v>0</v>
      </c>
      <c r="W118" s="57">
        <f>11.52/40*60</f>
        <v>17.279999999999998</v>
      </c>
    </row>
    <row r="119" spans="1:25" s="31" customFormat="1" ht="24" customHeight="1" x14ac:dyDescent="0.25">
      <c r="A119" s="25"/>
      <c r="B119" s="52" t="s">
        <v>39</v>
      </c>
      <c r="C119" s="50"/>
      <c r="D119" s="55" t="s">
        <v>41</v>
      </c>
      <c r="E119" s="56"/>
      <c r="F119" s="51">
        <v>60</v>
      </c>
      <c r="G119" s="57">
        <f>3.4/40*60</f>
        <v>5.0999999999999996</v>
      </c>
      <c r="H119" s="57">
        <f>1.32/40*60</f>
        <v>1.98</v>
      </c>
      <c r="I119" s="57">
        <f>17/40*60</f>
        <v>25.5</v>
      </c>
      <c r="J119" s="57">
        <f>103.6/40*60</f>
        <v>155.39999999999998</v>
      </c>
      <c r="K119" s="57">
        <f>0.17/40*60</f>
        <v>0.255</v>
      </c>
      <c r="L119" s="57">
        <f>0.13/40*60</f>
        <v>0.19500000000000001</v>
      </c>
      <c r="M119" s="57">
        <v>0</v>
      </c>
      <c r="N119" s="57">
        <f>1.52/40*60</f>
        <v>2.2799999999999998</v>
      </c>
      <c r="O119" s="57">
        <f>0.16/40*60</f>
        <v>0.24</v>
      </c>
      <c r="P119" s="57">
        <f>241.2/40*60</f>
        <v>361.79999999999995</v>
      </c>
      <c r="Q119" s="57">
        <f>29.2/40*60</f>
        <v>43.8</v>
      </c>
      <c r="R119" s="57">
        <f>0.48/40*60</f>
        <v>0.72</v>
      </c>
      <c r="S119" s="57">
        <f>16/40*60</f>
        <v>24</v>
      </c>
      <c r="T119" s="57">
        <f>50/40*60</f>
        <v>75</v>
      </c>
      <c r="U119" s="57">
        <f>1.13/40*60</f>
        <v>1.6949999999999998</v>
      </c>
      <c r="V119" s="57">
        <v>0</v>
      </c>
      <c r="W119" s="57">
        <f>12.36/40*60</f>
        <v>18.54</v>
      </c>
    </row>
    <row r="120" spans="1:25" ht="39.75" x14ac:dyDescent="0.25">
      <c r="A120" s="25"/>
      <c r="B120" s="49" t="s">
        <v>99</v>
      </c>
      <c r="C120" s="50" t="s">
        <v>100</v>
      </c>
      <c r="D120" s="55" t="s">
        <v>101</v>
      </c>
      <c r="E120" s="56"/>
      <c r="F120" s="51">
        <v>200</v>
      </c>
      <c r="G120" s="57">
        <v>0.6</v>
      </c>
      <c r="H120" s="57">
        <v>0.2</v>
      </c>
      <c r="I120" s="57">
        <v>15.2</v>
      </c>
      <c r="J120" s="57">
        <v>65.3</v>
      </c>
      <c r="K120" s="57">
        <v>0.01</v>
      </c>
      <c r="L120" s="57">
        <v>0.05</v>
      </c>
      <c r="M120" s="57">
        <v>98.04</v>
      </c>
      <c r="N120" s="57">
        <v>0.19</v>
      </c>
      <c r="O120" s="57">
        <v>80</v>
      </c>
      <c r="P120" s="57">
        <v>2</v>
      </c>
      <c r="Q120" s="57">
        <v>8</v>
      </c>
      <c r="R120" s="57">
        <v>11</v>
      </c>
      <c r="S120" s="57">
        <v>3</v>
      </c>
      <c r="T120" s="57">
        <v>3</v>
      </c>
      <c r="U120" s="57">
        <v>0.5</v>
      </c>
      <c r="V120" s="57">
        <v>0</v>
      </c>
      <c r="W120" s="57">
        <v>0</v>
      </c>
      <c r="X120"/>
      <c r="Y120"/>
    </row>
    <row r="121" spans="1:25" ht="20.25" customHeight="1" x14ac:dyDescent="0.25">
      <c r="A121" s="25"/>
      <c r="B121" s="68"/>
      <c r="C121" s="69"/>
      <c r="D121" s="70" t="s">
        <v>46</v>
      </c>
      <c r="E121" s="71"/>
      <c r="F121" s="48">
        <f t="shared" ref="F121:W121" si="6">SUM(F115:F120)</f>
        <v>710</v>
      </c>
      <c r="G121" s="92">
        <f t="shared" si="6"/>
        <v>32.86</v>
      </c>
      <c r="H121" s="92">
        <f t="shared" si="6"/>
        <v>31.109999999999996</v>
      </c>
      <c r="I121" s="92">
        <f t="shared" si="6"/>
        <v>103.45</v>
      </c>
      <c r="J121" s="92">
        <f t="shared" si="6"/>
        <v>850.8</v>
      </c>
      <c r="K121" s="92">
        <f t="shared" si="6"/>
        <v>0.68100000000000005</v>
      </c>
      <c r="L121" s="92">
        <f t="shared" si="6"/>
        <v>0.58650000000000002</v>
      </c>
      <c r="M121" s="92">
        <f t="shared" si="6"/>
        <v>317.94</v>
      </c>
      <c r="N121" s="92">
        <f t="shared" si="6"/>
        <v>8.83</v>
      </c>
      <c r="O121" s="92">
        <f t="shared" si="6"/>
        <v>129.66</v>
      </c>
      <c r="P121" s="92">
        <f t="shared" si="6"/>
        <v>1340.1999999999998</v>
      </c>
      <c r="Q121" s="92">
        <f t="shared" si="6"/>
        <v>1048.3</v>
      </c>
      <c r="R121" s="92">
        <f t="shared" si="6"/>
        <v>179.05999999999997</v>
      </c>
      <c r="S121" s="92">
        <f t="shared" si="6"/>
        <v>121.39999999999999</v>
      </c>
      <c r="T121" s="92">
        <f t="shared" si="6"/>
        <v>426.29999999999995</v>
      </c>
      <c r="U121" s="92">
        <f t="shared" si="6"/>
        <v>8.6550000000000011</v>
      </c>
      <c r="V121" s="92">
        <f t="shared" si="6"/>
        <v>75.900000000000006</v>
      </c>
      <c r="W121" s="92">
        <f t="shared" si="6"/>
        <v>39.119999999999997</v>
      </c>
      <c r="X121"/>
      <c r="Y121"/>
    </row>
    <row r="122" spans="1:25" s="31" customFormat="1" ht="15.75" x14ac:dyDescent="0.25">
      <c r="A122" s="25"/>
      <c r="B122" s="43"/>
      <c r="C122" s="151"/>
      <c r="D122" s="152"/>
      <c r="E122" s="152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</row>
    <row r="123" spans="1:25" s="31" customFormat="1" ht="18" customHeight="1" x14ac:dyDescent="0.25">
      <c r="A123" s="25"/>
      <c r="B123" s="43"/>
      <c r="C123" s="151"/>
      <c r="D123" s="152"/>
      <c r="E123" s="152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</row>
    <row r="124" spans="1:25" s="31" customFormat="1" ht="16.899999999999999" customHeight="1" x14ac:dyDescent="0.25">
      <c r="A124" s="25"/>
      <c r="B124" s="26" t="s">
        <v>7</v>
      </c>
      <c r="C124" s="27"/>
      <c r="D124" s="27"/>
      <c r="E124" s="28"/>
      <c r="F124" s="100"/>
      <c r="G124" s="101"/>
      <c r="H124" s="101"/>
      <c r="I124" s="101"/>
      <c r="J124" s="33"/>
      <c r="K124" s="82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</row>
    <row r="125" spans="1:25" s="31" customFormat="1" ht="18.600000000000001" customHeight="1" x14ac:dyDescent="0.25">
      <c r="A125" s="25"/>
      <c r="B125" s="35" t="s">
        <v>102</v>
      </c>
      <c r="C125" s="35"/>
      <c r="D125" s="99"/>
      <c r="E125" s="42" t="s">
        <v>123</v>
      </c>
      <c r="F125" s="35"/>
      <c r="G125" s="35"/>
      <c r="H125" s="35"/>
      <c r="I125" s="36"/>
      <c r="J125" s="100"/>
      <c r="K125" s="101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5" s="31" customFormat="1" ht="15.6" customHeight="1" x14ac:dyDescent="0.25">
      <c r="A126" s="25"/>
      <c r="B126" s="165" t="s">
        <v>9</v>
      </c>
      <c r="C126" s="38" t="s">
        <v>10</v>
      </c>
      <c r="D126" s="39" t="s">
        <v>11</v>
      </c>
      <c r="E126" s="40"/>
      <c r="F126" s="41" t="s">
        <v>12</v>
      </c>
      <c r="G126" s="42" t="s">
        <v>13</v>
      </c>
      <c r="H126" s="35"/>
      <c r="I126" s="36"/>
      <c r="J126" s="38" t="s">
        <v>14</v>
      </c>
      <c r="K126" s="42" t="s">
        <v>15</v>
      </c>
      <c r="L126" s="35"/>
      <c r="M126" s="35"/>
      <c r="N126" s="35"/>
      <c r="O126" s="36"/>
      <c r="P126" s="26" t="s">
        <v>16</v>
      </c>
      <c r="Q126" s="27"/>
      <c r="R126" s="27"/>
      <c r="S126" s="27"/>
      <c r="T126" s="27"/>
      <c r="U126" s="27"/>
      <c r="V126" s="27"/>
      <c r="W126" s="28"/>
    </row>
    <row r="127" spans="1:25" s="31" customFormat="1" ht="37.9" customHeight="1" x14ac:dyDescent="0.25">
      <c r="A127" s="25"/>
      <c r="B127" s="166"/>
      <c r="C127" s="44"/>
      <c r="D127" s="34"/>
      <c r="E127" s="45"/>
      <c r="F127" s="46"/>
      <c r="G127" s="47" t="s">
        <v>17</v>
      </c>
      <c r="H127" s="47" t="s">
        <v>18</v>
      </c>
      <c r="I127" s="47" t="s">
        <v>19</v>
      </c>
      <c r="J127" s="44"/>
      <c r="K127" s="47" t="s">
        <v>20</v>
      </c>
      <c r="L127" s="48" t="s">
        <v>21</v>
      </c>
      <c r="M127" s="48" t="s">
        <v>22</v>
      </c>
      <c r="N127" s="48" t="s">
        <v>23</v>
      </c>
      <c r="O127" s="48" t="s">
        <v>24</v>
      </c>
      <c r="P127" s="48" t="s">
        <v>25</v>
      </c>
      <c r="Q127" s="48" t="s">
        <v>26</v>
      </c>
      <c r="R127" s="48" t="s">
        <v>27</v>
      </c>
      <c r="S127" s="48" t="s">
        <v>28</v>
      </c>
      <c r="T127" s="48" t="s">
        <v>29</v>
      </c>
      <c r="U127" s="48" t="s">
        <v>30</v>
      </c>
      <c r="V127" s="48" t="s">
        <v>31</v>
      </c>
      <c r="W127" s="48" t="s">
        <v>32</v>
      </c>
    </row>
    <row r="128" spans="1:25" s="31" customFormat="1" ht="20.45" customHeight="1" x14ac:dyDescent="0.25">
      <c r="A128" s="25"/>
      <c r="B128" s="42" t="s">
        <v>33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6"/>
    </row>
    <row r="129" spans="1:25" s="31" customFormat="1" ht="65.45" customHeight="1" x14ac:dyDescent="0.25">
      <c r="A129" s="53"/>
      <c r="B129" s="102"/>
      <c r="C129" s="103"/>
      <c r="D129" s="167"/>
      <c r="E129" s="168"/>
      <c r="F129" s="106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</row>
    <row r="130" spans="1:25" s="31" customFormat="1" ht="55.15" customHeight="1" x14ac:dyDescent="0.25">
      <c r="A130" s="25"/>
      <c r="B130" s="49" t="s">
        <v>103</v>
      </c>
      <c r="C130" s="50" t="s">
        <v>35</v>
      </c>
      <c r="D130" s="55" t="s">
        <v>104</v>
      </c>
      <c r="E130" s="56"/>
      <c r="F130" s="51">
        <v>60</v>
      </c>
      <c r="G130" s="57">
        <v>0.6</v>
      </c>
      <c r="H130" s="57">
        <v>6.1</v>
      </c>
      <c r="I130" s="57">
        <v>4.3</v>
      </c>
      <c r="J130" s="57">
        <v>74.400000000000006</v>
      </c>
      <c r="K130" s="57">
        <v>0.03</v>
      </c>
      <c r="L130" s="57">
        <v>0.03</v>
      </c>
      <c r="M130" s="57">
        <v>135</v>
      </c>
      <c r="N130" s="57">
        <v>0.4</v>
      </c>
      <c r="O130" s="57">
        <v>4</v>
      </c>
      <c r="P130" s="57">
        <v>88</v>
      </c>
      <c r="Q130" s="57">
        <v>123</v>
      </c>
      <c r="R130" s="57">
        <v>23</v>
      </c>
      <c r="S130" s="57">
        <v>16</v>
      </c>
      <c r="T130" s="57">
        <v>22</v>
      </c>
      <c r="U130" s="57">
        <v>0</v>
      </c>
      <c r="V130" s="57">
        <v>10.199999999999999</v>
      </c>
      <c r="W130" s="57">
        <v>0.1</v>
      </c>
    </row>
    <row r="131" spans="1:25" s="31" customFormat="1" ht="51" customHeight="1" x14ac:dyDescent="0.25">
      <c r="A131" s="25"/>
      <c r="B131" s="49" t="s">
        <v>105</v>
      </c>
      <c r="C131" s="59" t="s">
        <v>35</v>
      </c>
      <c r="D131" s="55" t="s">
        <v>106</v>
      </c>
      <c r="E131" s="56"/>
      <c r="F131" s="51">
        <v>250</v>
      </c>
      <c r="G131" s="57">
        <v>12.01</v>
      </c>
      <c r="H131" s="57">
        <v>6.95</v>
      </c>
      <c r="I131" s="57">
        <v>20.88</v>
      </c>
      <c r="J131" s="57">
        <v>187.4</v>
      </c>
      <c r="K131" s="57">
        <v>0.08</v>
      </c>
      <c r="L131" s="57">
        <v>0.05</v>
      </c>
      <c r="M131" s="57">
        <v>30</v>
      </c>
      <c r="N131" s="57">
        <v>0.75</v>
      </c>
      <c r="O131" s="57">
        <v>6.75</v>
      </c>
      <c r="P131" s="57">
        <v>171.25</v>
      </c>
      <c r="Q131" s="57">
        <v>323.25</v>
      </c>
      <c r="R131" s="57">
        <v>29.25</v>
      </c>
      <c r="S131" s="57">
        <v>21.75</v>
      </c>
      <c r="T131" s="57">
        <v>60.75</v>
      </c>
      <c r="U131" s="57">
        <v>0.75</v>
      </c>
      <c r="V131" s="57">
        <v>19.55</v>
      </c>
      <c r="W131" s="57">
        <v>0.95</v>
      </c>
    </row>
    <row r="132" spans="1:25" s="31" customFormat="1" ht="32.450000000000003" customHeight="1" x14ac:dyDescent="0.25">
      <c r="A132" s="25"/>
      <c r="B132" s="49" t="s">
        <v>53</v>
      </c>
      <c r="C132" s="59" t="s">
        <v>35</v>
      </c>
      <c r="D132" s="55" t="s">
        <v>54</v>
      </c>
      <c r="E132" s="56"/>
      <c r="F132" s="51">
        <v>200</v>
      </c>
      <c r="G132" s="57">
        <v>4.0999999999999996</v>
      </c>
      <c r="H132" s="57">
        <v>7.6</v>
      </c>
      <c r="I132" s="57">
        <v>31.6</v>
      </c>
      <c r="J132" s="57">
        <v>211.1</v>
      </c>
      <c r="K132" s="57">
        <v>0.16</v>
      </c>
      <c r="L132" s="57">
        <v>0.1</v>
      </c>
      <c r="M132" s="57">
        <v>31</v>
      </c>
      <c r="N132" s="57">
        <v>1.3</v>
      </c>
      <c r="O132" s="57">
        <v>13</v>
      </c>
      <c r="P132" s="57">
        <v>319</v>
      </c>
      <c r="Q132" s="57">
        <v>1003</v>
      </c>
      <c r="R132" s="57">
        <v>54</v>
      </c>
      <c r="S132" s="57">
        <v>39</v>
      </c>
      <c r="T132" s="57">
        <v>111</v>
      </c>
      <c r="U132" s="57">
        <v>1</v>
      </c>
      <c r="V132" s="57">
        <v>38</v>
      </c>
      <c r="W132" s="57">
        <v>1.1000000000000001</v>
      </c>
    </row>
    <row r="133" spans="1:25" s="31" customFormat="1" ht="33" customHeight="1" x14ac:dyDescent="0.25">
      <c r="A133" s="25"/>
      <c r="B133" s="49">
        <v>56</v>
      </c>
      <c r="C133" s="50" t="s">
        <v>59</v>
      </c>
      <c r="D133" s="55" t="s">
        <v>107</v>
      </c>
      <c r="E133" s="56"/>
      <c r="F133" s="51">
        <v>110</v>
      </c>
      <c r="G133" s="57">
        <v>16.399999999999999</v>
      </c>
      <c r="H133" s="57">
        <v>12.5</v>
      </c>
      <c r="I133" s="57">
        <v>14.2</v>
      </c>
      <c r="J133" s="57">
        <v>236.5</v>
      </c>
      <c r="K133" s="57">
        <v>0.11</v>
      </c>
      <c r="L133" s="57">
        <v>0.12</v>
      </c>
      <c r="M133" s="57">
        <v>10.9</v>
      </c>
      <c r="N133" s="57">
        <v>0</v>
      </c>
      <c r="O133" s="57">
        <v>0</v>
      </c>
      <c r="P133" s="57">
        <v>0</v>
      </c>
      <c r="Q133" s="57">
        <v>0</v>
      </c>
      <c r="R133" s="57">
        <v>46</v>
      </c>
      <c r="S133" s="57">
        <v>31</v>
      </c>
      <c r="T133" s="57">
        <v>165</v>
      </c>
      <c r="U133" s="57">
        <v>1.2</v>
      </c>
      <c r="V133" s="57">
        <v>0</v>
      </c>
      <c r="W133" s="57">
        <v>0</v>
      </c>
    </row>
    <row r="134" spans="1:25" s="31" customFormat="1" ht="37.9" customHeight="1" x14ac:dyDescent="0.25">
      <c r="A134" s="25"/>
      <c r="B134" s="49" t="s">
        <v>108</v>
      </c>
      <c r="C134" s="50" t="s">
        <v>35</v>
      </c>
      <c r="D134" s="55" t="s">
        <v>109</v>
      </c>
      <c r="E134" s="56"/>
      <c r="F134" s="51">
        <v>30</v>
      </c>
      <c r="G134" s="57">
        <v>1.05</v>
      </c>
      <c r="H134" s="57">
        <v>2.61</v>
      </c>
      <c r="I134" s="57">
        <v>2.94</v>
      </c>
      <c r="J134" s="57">
        <v>39.299999999999997</v>
      </c>
      <c r="K134" s="57">
        <v>8.9999999999999993E-3</v>
      </c>
      <c r="L134" s="57">
        <v>0.03</v>
      </c>
      <c r="M134" s="57">
        <v>10.8</v>
      </c>
      <c r="N134" s="57">
        <v>0.06</v>
      </c>
      <c r="O134" s="57">
        <v>0</v>
      </c>
      <c r="P134" s="57">
        <v>50.7</v>
      </c>
      <c r="Q134" s="57">
        <v>47.4</v>
      </c>
      <c r="R134" s="57">
        <v>33</v>
      </c>
      <c r="S134" s="57">
        <v>3.9</v>
      </c>
      <c r="T134" s="57">
        <v>25.8</v>
      </c>
      <c r="U134" s="57">
        <v>0</v>
      </c>
      <c r="V134" s="57">
        <v>6.33</v>
      </c>
      <c r="W134" s="57">
        <v>0.69</v>
      </c>
    </row>
    <row r="135" spans="1:25" s="31" customFormat="1" ht="29.25" customHeight="1" x14ac:dyDescent="0.25">
      <c r="A135" s="25"/>
      <c r="B135" s="52" t="s">
        <v>39</v>
      </c>
      <c r="C135" s="58"/>
      <c r="D135" s="55" t="s">
        <v>40</v>
      </c>
      <c r="E135" s="56"/>
      <c r="F135" s="51">
        <v>32</v>
      </c>
      <c r="G135" s="57">
        <f>4.28/40*32</f>
        <v>3.4240000000000004</v>
      </c>
      <c r="H135" s="57">
        <f>1.8/40*32</f>
        <v>1.44</v>
      </c>
      <c r="I135" s="57">
        <f>17.4/40*32</f>
        <v>13.919999999999998</v>
      </c>
      <c r="J135" s="57">
        <f>109.6/40*32</f>
        <v>87.679999999999993</v>
      </c>
      <c r="K135" s="57">
        <f>0.164/40*32</f>
        <v>0.13120000000000001</v>
      </c>
      <c r="L135" s="57">
        <f>0.101/40*32</f>
        <v>8.0800000000000011E-2</v>
      </c>
      <c r="M135" s="57">
        <v>0</v>
      </c>
      <c r="N135" s="57">
        <f>2.24/40*32</f>
        <v>1.7920000000000003</v>
      </c>
      <c r="O135" s="57">
        <f>0.06/30*32</f>
        <v>6.4000000000000001E-2</v>
      </c>
      <c r="P135" s="57">
        <f>189.2/40*32</f>
        <v>151.35999999999999</v>
      </c>
      <c r="Q135" s="57">
        <f>50/40*32</f>
        <v>40</v>
      </c>
      <c r="R135" s="57">
        <f>1.96/40*32</f>
        <v>1.5680000000000001</v>
      </c>
      <c r="S135" s="57">
        <f>16.4/40*32</f>
        <v>13.12</v>
      </c>
      <c r="T135" s="57">
        <f>51.6/40*32</f>
        <v>41.28</v>
      </c>
      <c r="U135" s="57">
        <f>1.44/40*32</f>
        <v>1.1519999999999999</v>
      </c>
      <c r="V135" s="57">
        <v>0</v>
      </c>
      <c r="W135" s="57">
        <f>11.52/40*32</f>
        <v>9.2159999999999993</v>
      </c>
    </row>
    <row r="136" spans="1:25" ht="25.9" customHeight="1" x14ac:dyDescent="0.25">
      <c r="A136" s="25"/>
      <c r="B136" s="52" t="s">
        <v>39</v>
      </c>
      <c r="C136" s="50"/>
      <c r="D136" s="55" t="s">
        <v>41</v>
      </c>
      <c r="E136" s="56"/>
      <c r="F136" s="51">
        <v>32</v>
      </c>
      <c r="G136" s="57">
        <f>3.4/40*32</f>
        <v>2.7199999999999998</v>
      </c>
      <c r="H136" s="57">
        <f>1.32/40*32</f>
        <v>1.056</v>
      </c>
      <c r="I136" s="57">
        <f>17/40*32</f>
        <v>13.6</v>
      </c>
      <c r="J136" s="57">
        <f>103.6/40*32</f>
        <v>82.88</v>
      </c>
      <c r="K136" s="57">
        <f>0.17/40*32</f>
        <v>0.13600000000000001</v>
      </c>
      <c r="L136" s="57">
        <f>0.13/40*32</f>
        <v>0.10400000000000001</v>
      </c>
      <c r="M136" s="57">
        <v>0</v>
      </c>
      <c r="N136" s="57">
        <f>1.52/40*32</f>
        <v>1.216</v>
      </c>
      <c r="O136" s="57">
        <f>0.16/40*32</f>
        <v>0.128</v>
      </c>
      <c r="P136" s="57">
        <f>241.2/40*32</f>
        <v>192.95999999999998</v>
      </c>
      <c r="Q136" s="57">
        <f>29.2/40*32</f>
        <v>23.36</v>
      </c>
      <c r="R136" s="57">
        <f>0.48/40*32</f>
        <v>0.38400000000000001</v>
      </c>
      <c r="S136" s="57">
        <f>16/40*32</f>
        <v>12.8</v>
      </c>
      <c r="T136" s="57">
        <f>50/40*32</f>
        <v>40</v>
      </c>
      <c r="U136" s="57">
        <f>1.13/40*32</f>
        <v>0.90399999999999991</v>
      </c>
      <c r="V136" s="57">
        <v>0</v>
      </c>
      <c r="W136" s="57">
        <f>12.36/40*32</f>
        <v>9.8879999999999999</v>
      </c>
      <c r="X136"/>
      <c r="Y136"/>
    </row>
    <row r="137" spans="1:25" ht="21" customHeight="1" x14ac:dyDescent="0.25">
      <c r="A137" s="25"/>
      <c r="B137" s="49" t="s">
        <v>67</v>
      </c>
      <c r="C137" s="50" t="s">
        <v>35</v>
      </c>
      <c r="D137" s="55" t="s">
        <v>68</v>
      </c>
      <c r="E137" s="56"/>
      <c r="F137" s="51">
        <v>200</v>
      </c>
      <c r="G137" s="57">
        <v>0.2</v>
      </c>
      <c r="H137" s="57">
        <v>0</v>
      </c>
      <c r="I137" s="57">
        <v>6.4</v>
      </c>
      <c r="J137" s="57">
        <v>26.4</v>
      </c>
      <c r="K137" s="57">
        <v>0</v>
      </c>
      <c r="L137" s="57">
        <v>0</v>
      </c>
      <c r="M137" s="57">
        <v>0</v>
      </c>
      <c r="N137" s="57">
        <v>0.1</v>
      </c>
      <c r="O137" s="57">
        <v>0</v>
      </c>
      <c r="P137" s="57">
        <v>1</v>
      </c>
      <c r="Q137" s="57">
        <v>25</v>
      </c>
      <c r="R137" s="57">
        <v>4</v>
      </c>
      <c r="S137" s="57">
        <v>4</v>
      </c>
      <c r="T137" s="57">
        <v>7</v>
      </c>
      <c r="U137" s="57">
        <v>1</v>
      </c>
      <c r="V137" s="57">
        <v>0</v>
      </c>
      <c r="W137" s="57">
        <v>0</v>
      </c>
      <c r="X137"/>
      <c r="Y137"/>
    </row>
    <row r="138" spans="1:25" s="31" customFormat="1" ht="15.75" x14ac:dyDescent="0.25">
      <c r="A138" s="25"/>
      <c r="B138" s="68"/>
      <c r="C138" s="69"/>
      <c r="D138" s="70" t="s">
        <v>46</v>
      </c>
      <c r="E138" s="71"/>
      <c r="F138" s="48">
        <f t="shared" ref="F138:W138" si="7">SUM(F130:F137)</f>
        <v>914</v>
      </c>
      <c r="G138" s="92">
        <f t="shared" si="7"/>
        <v>40.503999999999998</v>
      </c>
      <c r="H138" s="92">
        <f t="shared" si="7"/>
        <v>38.255999999999993</v>
      </c>
      <c r="I138" s="92">
        <f t="shared" si="7"/>
        <v>107.84</v>
      </c>
      <c r="J138" s="92">
        <f t="shared" si="7"/>
        <v>945.65999999999985</v>
      </c>
      <c r="K138" s="92">
        <f t="shared" si="7"/>
        <v>0.65620000000000001</v>
      </c>
      <c r="L138" s="92">
        <f t="shared" si="7"/>
        <v>0.51479999999999992</v>
      </c>
      <c r="M138" s="92">
        <f t="shared" si="7"/>
        <v>217.70000000000002</v>
      </c>
      <c r="N138" s="92">
        <f t="shared" si="7"/>
        <v>5.6180000000000003</v>
      </c>
      <c r="O138" s="92">
        <f t="shared" si="7"/>
        <v>23.942</v>
      </c>
      <c r="P138" s="92">
        <f t="shared" si="7"/>
        <v>974.27</v>
      </c>
      <c r="Q138" s="92">
        <f t="shared" si="7"/>
        <v>1585.01</v>
      </c>
      <c r="R138" s="92">
        <f t="shared" si="7"/>
        <v>191.202</v>
      </c>
      <c r="S138" s="92">
        <f t="shared" si="7"/>
        <v>141.57000000000002</v>
      </c>
      <c r="T138" s="92">
        <f t="shared" si="7"/>
        <v>472.83000000000004</v>
      </c>
      <c r="U138" s="92">
        <f t="shared" si="7"/>
        <v>6.0060000000000002</v>
      </c>
      <c r="V138" s="92">
        <f t="shared" si="7"/>
        <v>74.08</v>
      </c>
      <c r="W138" s="92">
        <f t="shared" si="7"/>
        <v>21.943999999999999</v>
      </c>
    </row>
    <row r="139" spans="1:25" s="31" customFormat="1" ht="24.75" customHeight="1" x14ac:dyDescent="0.25">
      <c r="A139" s="53"/>
      <c r="B139" s="108"/>
      <c r="C139" s="109"/>
      <c r="D139" s="110"/>
      <c r="E139" s="110"/>
      <c r="F139" s="111"/>
      <c r="G139" s="112"/>
      <c r="H139" s="112"/>
      <c r="I139" s="112"/>
      <c r="J139" s="113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</row>
    <row r="140" spans="1:25" s="31" customFormat="1" ht="24.75" customHeight="1" x14ac:dyDescent="0.25">
      <c r="A140" s="53"/>
      <c r="B140" s="53"/>
      <c r="C140" s="74"/>
      <c r="D140" s="87"/>
      <c r="E140" s="87"/>
      <c r="F140" s="76"/>
      <c r="G140" s="80"/>
      <c r="H140" s="80"/>
      <c r="I140" s="80"/>
      <c r="J140" s="80"/>
      <c r="K140" s="76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</row>
    <row r="141" spans="1:25" s="31" customFormat="1" ht="29.25" customHeight="1" x14ac:dyDescent="0.25">
      <c r="A141" s="25"/>
      <c r="B141" s="26" t="s">
        <v>7</v>
      </c>
      <c r="C141" s="27"/>
      <c r="D141" s="27"/>
      <c r="E141" s="28"/>
      <c r="F141" s="115"/>
      <c r="G141" s="116"/>
      <c r="H141" s="116"/>
      <c r="I141" s="116"/>
      <c r="J141" s="117"/>
      <c r="K141" s="82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</row>
    <row r="142" spans="1:25" s="31" customFormat="1" ht="20.45" customHeight="1" x14ac:dyDescent="0.25">
      <c r="A142" s="25"/>
      <c r="B142" s="35" t="s">
        <v>110</v>
      </c>
      <c r="C142" s="35"/>
      <c r="D142" s="99"/>
      <c r="E142" s="42" t="s">
        <v>123</v>
      </c>
      <c r="F142" s="35"/>
      <c r="G142" s="35"/>
      <c r="H142" s="35"/>
      <c r="I142" s="36"/>
      <c r="J142" s="100"/>
      <c r="K142" s="118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</row>
    <row r="143" spans="1:25" s="31" customFormat="1" ht="36.6" customHeight="1" x14ac:dyDescent="0.25">
      <c r="A143" s="25"/>
      <c r="B143" s="37" t="s">
        <v>9</v>
      </c>
      <c r="C143" s="38" t="s">
        <v>10</v>
      </c>
      <c r="D143" s="39" t="s">
        <v>11</v>
      </c>
      <c r="E143" s="40"/>
      <c r="F143" s="38" t="s">
        <v>12</v>
      </c>
      <c r="G143" s="42" t="s">
        <v>13</v>
      </c>
      <c r="H143" s="35"/>
      <c r="I143" s="36"/>
      <c r="J143" s="38" t="s">
        <v>14</v>
      </c>
      <c r="K143" s="42" t="s">
        <v>15</v>
      </c>
      <c r="L143" s="35"/>
      <c r="M143" s="35"/>
      <c r="N143" s="35"/>
      <c r="O143" s="36"/>
      <c r="P143" s="26" t="s">
        <v>16</v>
      </c>
      <c r="Q143" s="27"/>
      <c r="R143" s="27"/>
      <c r="S143" s="27"/>
      <c r="T143" s="27"/>
      <c r="U143" s="27"/>
      <c r="V143" s="27"/>
      <c r="W143" s="28"/>
    </row>
    <row r="144" spans="1:25" s="31" customFormat="1" ht="23.45" customHeight="1" x14ac:dyDescent="0.25">
      <c r="A144" s="25"/>
      <c r="B144" s="37"/>
      <c r="C144" s="44"/>
      <c r="D144" s="34"/>
      <c r="E144" s="45"/>
      <c r="F144" s="44"/>
      <c r="G144" s="47" t="s">
        <v>17</v>
      </c>
      <c r="H144" s="47" t="s">
        <v>18</v>
      </c>
      <c r="I144" s="47" t="s">
        <v>19</v>
      </c>
      <c r="J144" s="44"/>
      <c r="K144" s="47" t="s">
        <v>20</v>
      </c>
      <c r="L144" s="48" t="s">
        <v>21</v>
      </c>
      <c r="M144" s="48" t="s">
        <v>22</v>
      </c>
      <c r="N144" s="48" t="s">
        <v>23</v>
      </c>
      <c r="O144" s="48" t="s">
        <v>24</v>
      </c>
      <c r="P144" s="48" t="s">
        <v>25</v>
      </c>
      <c r="Q144" s="48" t="s">
        <v>26</v>
      </c>
      <c r="R144" s="48" t="s">
        <v>27</v>
      </c>
      <c r="S144" s="48" t="s">
        <v>28</v>
      </c>
      <c r="T144" s="48" t="s">
        <v>29</v>
      </c>
      <c r="U144" s="48" t="s">
        <v>30</v>
      </c>
      <c r="V144" s="48" t="s">
        <v>31</v>
      </c>
      <c r="W144" s="48" t="s">
        <v>32</v>
      </c>
    </row>
    <row r="145" spans="1:25" s="31" customFormat="1" ht="51.6" customHeight="1" x14ac:dyDescent="0.25">
      <c r="A145" s="25"/>
      <c r="B145" s="42" t="s">
        <v>33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6"/>
    </row>
    <row r="146" spans="1:25" s="31" customFormat="1" ht="53.45" customHeight="1" x14ac:dyDescent="0.25">
      <c r="A146" s="25"/>
      <c r="B146" s="49" t="s">
        <v>111</v>
      </c>
      <c r="C146" s="59" t="s">
        <v>35</v>
      </c>
      <c r="D146" s="55" t="s">
        <v>78</v>
      </c>
      <c r="E146" s="56"/>
      <c r="F146" s="51">
        <v>80</v>
      </c>
      <c r="G146" s="57">
        <v>2</v>
      </c>
      <c r="H146" s="57">
        <v>8</v>
      </c>
      <c r="I146" s="57">
        <v>9.1</v>
      </c>
      <c r="J146" s="57">
        <v>116.5</v>
      </c>
      <c r="K146" s="57">
        <v>0.05</v>
      </c>
      <c r="L146" s="57">
        <v>0.05</v>
      </c>
      <c r="M146" s="57">
        <v>127.3</v>
      </c>
      <c r="N146" s="57">
        <v>0.5</v>
      </c>
      <c r="O146" s="57">
        <v>52</v>
      </c>
      <c r="P146" s="57">
        <v>116</v>
      </c>
      <c r="Q146" s="57">
        <v>216</v>
      </c>
      <c r="R146" s="57">
        <v>56</v>
      </c>
      <c r="S146" s="57">
        <v>20</v>
      </c>
      <c r="T146" s="57">
        <v>39</v>
      </c>
      <c r="U146" s="57">
        <v>1.3</v>
      </c>
      <c r="V146" s="57">
        <v>14.3</v>
      </c>
      <c r="W146" s="57">
        <v>0.3</v>
      </c>
    </row>
    <row r="147" spans="1:25" s="31" customFormat="1" ht="51.6" customHeight="1" x14ac:dyDescent="0.25">
      <c r="A147" s="25"/>
      <c r="B147" s="49" t="s">
        <v>80</v>
      </c>
      <c r="C147" s="59" t="s">
        <v>35</v>
      </c>
      <c r="D147" s="96" t="s">
        <v>81</v>
      </c>
      <c r="E147" s="96"/>
      <c r="F147" s="51">
        <v>200</v>
      </c>
      <c r="G147" s="57">
        <v>4.8</v>
      </c>
      <c r="H147" s="57">
        <v>7</v>
      </c>
      <c r="I147" s="57">
        <v>50.7</v>
      </c>
      <c r="J147" s="57">
        <v>284.7</v>
      </c>
      <c r="K147" s="57">
        <v>0.04</v>
      </c>
      <c r="L147" s="57">
        <v>0.02</v>
      </c>
      <c r="M147" s="57">
        <v>27</v>
      </c>
      <c r="N147" s="57">
        <v>0.9</v>
      </c>
      <c r="O147" s="57">
        <v>0</v>
      </c>
      <c r="P147" s="57">
        <v>275</v>
      </c>
      <c r="Q147" s="57">
        <v>41</v>
      </c>
      <c r="R147" s="57">
        <v>20</v>
      </c>
      <c r="S147" s="57">
        <v>14</v>
      </c>
      <c r="T147" s="57">
        <v>62</v>
      </c>
      <c r="U147" s="57">
        <v>1</v>
      </c>
      <c r="V147" s="57">
        <v>26.7</v>
      </c>
      <c r="W147" s="57">
        <v>9.6999999999999993</v>
      </c>
    </row>
    <row r="148" spans="1:25" s="31" customFormat="1" ht="40.9" customHeight="1" x14ac:dyDescent="0.25">
      <c r="A148" s="25"/>
      <c r="B148" s="49" t="s">
        <v>65</v>
      </c>
      <c r="C148" s="91" t="s">
        <v>35</v>
      </c>
      <c r="D148" s="55" t="s">
        <v>66</v>
      </c>
      <c r="E148" s="56"/>
      <c r="F148" s="51">
        <v>100</v>
      </c>
      <c r="G148" s="57">
        <v>19.3</v>
      </c>
      <c r="H148" s="57">
        <v>4.8</v>
      </c>
      <c r="I148" s="57">
        <v>12.5</v>
      </c>
      <c r="J148" s="57">
        <v>171.07</v>
      </c>
      <c r="K148" s="57">
        <v>0.13</v>
      </c>
      <c r="L148" s="57">
        <v>0.11</v>
      </c>
      <c r="M148" s="57">
        <v>6.13</v>
      </c>
      <c r="N148" s="57">
        <v>5.47</v>
      </c>
      <c r="O148" s="57">
        <v>0</v>
      </c>
      <c r="P148" s="57">
        <v>305</v>
      </c>
      <c r="Q148" s="57">
        <v>288</v>
      </c>
      <c r="R148" s="57">
        <v>47</v>
      </c>
      <c r="S148" s="57">
        <v>69</v>
      </c>
      <c r="T148" s="57">
        <v>164</v>
      </c>
      <c r="U148" s="57">
        <v>1.33</v>
      </c>
      <c r="V148" s="57">
        <v>17</v>
      </c>
      <c r="W148" s="57">
        <v>18</v>
      </c>
    </row>
    <row r="149" spans="1:25" s="31" customFormat="1" ht="64.900000000000006" customHeight="1" x14ac:dyDescent="0.25">
      <c r="A149" s="25"/>
      <c r="B149" s="52" t="s">
        <v>39</v>
      </c>
      <c r="C149" s="58"/>
      <c r="D149" s="55" t="s">
        <v>40</v>
      </c>
      <c r="E149" s="56"/>
      <c r="F149" s="51">
        <v>50</v>
      </c>
      <c r="G149" s="57">
        <f>4.28/40*50</f>
        <v>5.3500000000000005</v>
      </c>
      <c r="H149" s="57">
        <f>1.8/40*50</f>
        <v>2.25</v>
      </c>
      <c r="I149" s="57">
        <f>17.4/40*50</f>
        <v>21.749999999999996</v>
      </c>
      <c r="J149" s="57">
        <f>109.6/40*50</f>
        <v>137</v>
      </c>
      <c r="K149" s="57">
        <f>0.164/40*50</f>
        <v>0.20500000000000002</v>
      </c>
      <c r="L149" s="57">
        <f>0.101/40*50</f>
        <v>0.12625000000000003</v>
      </c>
      <c r="M149" s="57">
        <v>0</v>
      </c>
      <c r="N149" s="57">
        <f>2.24/40*50</f>
        <v>2.8000000000000003</v>
      </c>
      <c r="O149" s="57">
        <f>0.06/30*50</f>
        <v>0.1</v>
      </c>
      <c r="P149" s="57">
        <f>189.2/40*50</f>
        <v>236.49999999999997</v>
      </c>
      <c r="Q149" s="57">
        <f>50/40*50</f>
        <v>62.5</v>
      </c>
      <c r="R149" s="57">
        <f>1.96/40*50</f>
        <v>2.4500000000000002</v>
      </c>
      <c r="S149" s="57">
        <f>16.4/40*50</f>
        <v>20.5</v>
      </c>
      <c r="T149" s="57">
        <f>51.6/40*50</f>
        <v>64.5</v>
      </c>
      <c r="U149" s="57">
        <f>1.44/40*50</f>
        <v>1.7999999999999998</v>
      </c>
      <c r="V149" s="57">
        <v>0</v>
      </c>
      <c r="W149" s="57">
        <f>11.52/40*50</f>
        <v>14.399999999999999</v>
      </c>
    </row>
    <row r="150" spans="1:25" s="31" customFormat="1" ht="32.450000000000003" customHeight="1" x14ac:dyDescent="0.25">
      <c r="A150" s="25"/>
      <c r="B150" s="52" t="s">
        <v>39</v>
      </c>
      <c r="C150" s="50"/>
      <c r="D150" s="55" t="s">
        <v>41</v>
      </c>
      <c r="E150" s="56"/>
      <c r="F150" s="51">
        <v>50</v>
      </c>
      <c r="G150" s="57">
        <f>3.4/40*50</f>
        <v>4.25</v>
      </c>
      <c r="H150" s="57">
        <f>1.32/40*50</f>
        <v>1.6500000000000001</v>
      </c>
      <c r="I150" s="57">
        <f>17/40*50</f>
        <v>21.25</v>
      </c>
      <c r="J150" s="57">
        <f>103.6/40*50</f>
        <v>129.5</v>
      </c>
      <c r="K150" s="57">
        <f>0.17/40*50</f>
        <v>0.21250000000000002</v>
      </c>
      <c r="L150" s="57">
        <f>0.13/40*50</f>
        <v>0.16250000000000001</v>
      </c>
      <c r="M150" s="57">
        <v>0</v>
      </c>
      <c r="N150" s="57">
        <f>1.52/40*50</f>
        <v>1.9</v>
      </c>
      <c r="O150" s="57">
        <f>0.16/40*50</f>
        <v>0.2</v>
      </c>
      <c r="P150" s="57">
        <f>241.2/40*50</f>
        <v>301.49999999999994</v>
      </c>
      <c r="Q150" s="57">
        <f>29.2/40*50</f>
        <v>36.5</v>
      </c>
      <c r="R150" s="57">
        <f>0.48/40*50</f>
        <v>0.6</v>
      </c>
      <c r="S150" s="57">
        <f>16/40*50</f>
        <v>20</v>
      </c>
      <c r="T150" s="57">
        <f>50/40*50</f>
        <v>62.5</v>
      </c>
      <c r="U150" s="57">
        <f>1.13/40*50</f>
        <v>1.4124999999999999</v>
      </c>
      <c r="V150" s="57">
        <v>0</v>
      </c>
      <c r="W150" s="57">
        <f>12.36/40*50</f>
        <v>15.45</v>
      </c>
    </row>
    <row r="151" spans="1:25" s="31" customFormat="1" ht="33" customHeight="1" x14ac:dyDescent="0.25">
      <c r="A151" s="25"/>
      <c r="B151" s="49" t="s">
        <v>112</v>
      </c>
      <c r="C151" s="59" t="s">
        <v>35</v>
      </c>
      <c r="D151" s="55" t="s">
        <v>113</v>
      </c>
      <c r="E151" s="56"/>
      <c r="F151" s="51">
        <v>200</v>
      </c>
      <c r="G151" s="57">
        <v>3.5</v>
      </c>
      <c r="H151" s="57">
        <v>3.4</v>
      </c>
      <c r="I151" s="57">
        <v>22.3</v>
      </c>
      <c r="J151" s="57">
        <v>133.4</v>
      </c>
      <c r="K151" s="57">
        <v>0</v>
      </c>
      <c r="L151" s="57">
        <v>0.13</v>
      </c>
      <c r="M151" s="57">
        <v>9.6</v>
      </c>
      <c r="N151" s="57">
        <v>0.12</v>
      </c>
      <c r="O151" s="57">
        <v>0</v>
      </c>
      <c r="P151" s="57">
        <v>50</v>
      </c>
      <c r="Q151" s="57">
        <v>199</v>
      </c>
      <c r="R151" s="57">
        <v>108</v>
      </c>
      <c r="S151" s="57">
        <v>26</v>
      </c>
      <c r="T151" s="57">
        <v>95</v>
      </c>
      <c r="U151" s="57">
        <v>1</v>
      </c>
      <c r="V151" s="57">
        <v>2.7</v>
      </c>
      <c r="W151" s="57">
        <v>1</v>
      </c>
    </row>
    <row r="152" spans="1:25" s="31" customFormat="1" ht="50.45" customHeight="1" x14ac:dyDescent="0.25">
      <c r="A152" s="25"/>
      <c r="B152" s="68"/>
      <c r="C152" s="69"/>
      <c r="D152" s="70" t="s">
        <v>46</v>
      </c>
      <c r="E152" s="71"/>
      <c r="F152" s="48">
        <f t="shared" ref="F152:W152" si="8">SUM(F146:F151)</f>
        <v>680</v>
      </c>
      <c r="G152" s="92">
        <f t="shared" si="8"/>
        <v>39.200000000000003</v>
      </c>
      <c r="H152" s="92">
        <f t="shared" si="8"/>
        <v>27.099999999999998</v>
      </c>
      <c r="I152" s="92">
        <f t="shared" si="8"/>
        <v>137.60000000000002</v>
      </c>
      <c r="J152" s="92">
        <f t="shared" si="8"/>
        <v>972.17</v>
      </c>
      <c r="K152" s="92">
        <f t="shared" si="8"/>
        <v>0.63750000000000007</v>
      </c>
      <c r="L152" s="92">
        <f t="shared" si="8"/>
        <v>0.59875</v>
      </c>
      <c r="M152" s="92">
        <f t="shared" si="8"/>
        <v>170.03</v>
      </c>
      <c r="N152" s="92">
        <f t="shared" si="8"/>
        <v>11.69</v>
      </c>
      <c r="O152" s="92">
        <f t="shared" si="8"/>
        <v>52.300000000000004</v>
      </c>
      <c r="P152" s="92">
        <f t="shared" si="8"/>
        <v>1284</v>
      </c>
      <c r="Q152" s="92">
        <f t="shared" si="8"/>
        <v>843</v>
      </c>
      <c r="R152" s="92">
        <f t="shared" si="8"/>
        <v>234.05</v>
      </c>
      <c r="S152" s="92">
        <f t="shared" si="8"/>
        <v>169.5</v>
      </c>
      <c r="T152" s="92">
        <f t="shared" si="8"/>
        <v>487</v>
      </c>
      <c r="U152" s="92">
        <f t="shared" si="8"/>
        <v>7.8424999999999994</v>
      </c>
      <c r="V152" s="92">
        <f t="shared" si="8"/>
        <v>60.7</v>
      </c>
      <c r="W152" s="92">
        <f t="shared" si="8"/>
        <v>58.849999999999994</v>
      </c>
    </row>
    <row r="153" spans="1:25" s="31" customFormat="1" ht="27.6" customHeight="1" x14ac:dyDescent="0.25">
      <c r="A153" s="53"/>
      <c r="B153" s="53"/>
      <c r="C153" s="109"/>
      <c r="D153" s="111"/>
      <c r="E153" s="111"/>
      <c r="F153" s="126"/>
      <c r="G153" s="126"/>
      <c r="H153" s="126"/>
      <c r="I153" s="126"/>
      <c r="J153" s="126"/>
      <c r="K153" s="111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</row>
    <row r="154" spans="1:25" ht="21" customHeight="1" x14ac:dyDescent="0.25">
      <c r="A154" s="53"/>
      <c r="B154" s="53"/>
      <c r="C154" s="169"/>
      <c r="D154" s="169"/>
      <c r="E154" s="169"/>
      <c r="F154" s="93"/>
      <c r="G154" s="93"/>
      <c r="H154" s="93"/>
      <c r="I154" s="93"/>
      <c r="J154" s="93"/>
      <c r="K154" s="9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/>
      <c r="Y154"/>
    </row>
    <row r="155" spans="1:25" ht="24" customHeight="1" x14ac:dyDescent="0.25">
      <c r="A155" s="25"/>
      <c r="B155" s="26" t="s">
        <v>7</v>
      </c>
      <c r="C155" s="27"/>
      <c r="D155" s="27"/>
      <c r="E155" s="28"/>
      <c r="F155" s="115"/>
      <c r="G155" s="116"/>
      <c r="H155" s="116"/>
      <c r="I155" s="116"/>
      <c r="J155" s="117"/>
      <c r="K155" s="82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/>
      <c r="Y155"/>
    </row>
    <row r="156" spans="1:25" s="31" customFormat="1" ht="19.899999999999999" customHeight="1" x14ac:dyDescent="0.25">
      <c r="A156" s="25"/>
      <c r="B156" s="35" t="s">
        <v>114</v>
      </c>
      <c r="C156" s="35"/>
      <c r="D156" s="99"/>
      <c r="E156" s="42" t="s">
        <v>123</v>
      </c>
      <c r="F156" s="35"/>
      <c r="G156" s="35"/>
      <c r="H156" s="35"/>
      <c r="I156" s="36"/>
      <c r="J156" s="100"/>
      <c r="K156" s="118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</row>
    <row r="157" spans="1:25" s="31" customFormat="1" ht="18" customHeight="1" x14ac:dyDescent="0.25">
      <c r="A157" s="25"/>
      <c r="B157" s="37" t="s">
        <v>9</v>
      </c>
      <c r="C157" s="38" t="s">
        <v>10</v>
      </c>
      <c r="D157" s="39" t="s">
        <v>11</v>
      </c>
      <c r="E157" s="40"/>
      <c r="F157" s="38" t="s">
        <v>12</v>
      </c>
      <c r="G157" s="42" t="s">
        <v>13</v>
      </c>
      <c r="H157" s="35"/>
      <c r="I157" s="36"/>
      <c r="J157" s="38" t="s">
        <v>14</v>
      </c>
      <c r="K157" s="42" t="s">
        <v>15</v>
      </c>
      <c r="L157" s="35"/>
      <c r="M157" s="35"/>
      <c r="N157" s="35"/>
      <c r="O157" s="36"/>
      <c r="P157" s="26" t="s">
        <v>16</v>
      </c>
      <c r="Q157" s="27"/>
      <c r="R157" s="27"/>
      <c r="S157" s="27"/>
      <c r="T157" s="27"/>
      <c r="U157" s="27"/>
      <c r="V157" s="27"/>
      <c r="W157" s="28"/>
    </row>
    <row r="158" spans="1:25" s="31" customFormat="1" ht="15.75" x14ac:dyDescent="0.25">
      <c r="A158" s="25"/>
      <c r="B158" s="37"/>
      <c r="C158" s="44"/>
      <c r="D158" s="34"/>
      <c r="E158" s="45"/>
      <c r="F158" s="44"/>
      <c r="G158" s="47" t="s">
        <v>17</v>
      </c>
      <c r="H158" s="47" t="s">
        <v>18</v>
      </c>
      <c r="I158" s="47" t="s">
        <v>19</v>
      </c>
      <c r="J158" s="44"/>
      <c r="K158" s="47" t="s">
        <v>20</v>
      </c>
      <c r="L158" s="48" t="s">
        <v>21</v>
      </c>
      <c r="M158" s="48" t="s">
        <v>22</v>
      </c>
      <c r="N158" s="48" t="s">
        <v>23</v>
      </c>
      <c r="O158" s="48" t="s">
        <v>24</v>
      </c>
      <c r="P158" s="48" t="s">
        <v>25</v>
      </c>
      <c r="Q158" s="48" t="s">
        <v>26</v>
      </c>
      <c r="R158" s="48" t="s">
        <v>27</v>
      </c>
      <c r="S158" s="48" t="s">
        <v>28</v>
      </c>
      <c r="T158" s="48" t="s">
        <v>29</v>
      </c>
      <c r="U158" s="48" t="s">
        <v>30</v>
      </c>
      <c r="V158" s="48" t="s">
        <v>31</v>
      </c>
      <c r="W158" s="48" t="s">
        <v>32</v>
      </c>
    </row>
    <row r="159" spans="1:25" s="31" customFormat="1" ht="18.600000000000001" customHeight="1" x14ac:dyDescent="0.25">
      <c r="A159" s="25"/>
      <c r="B159" s="42" t="s">
        <v>33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6"/>
    </row>
    <row r="160" spans="1:25" s="31" customFormat="1" ht="20.25" customHeight="1" x14ac:dyDescent="0.25">
      <c r="A160" s="25"/>
      <c r="B160" s="49" t="s">
        <v>115</v>
      </c>
      <c r="C160" s="59" t="s">
        <v>35</v>
      </c>
      <c r="D160" s="55" t="s">
        <v>116</v>
      </c>
      <c r="E160" s="56"/>
      <c r="F160" s="51">
        <v>60</v>
      </c>
      <c r="G160" s="57">
        <v>1</v>
      </c>
      <c r="H160" s="57">
        <v>3.2</v>
      </c>
      <c r="I160" s="57">
        <v>10.3</v>
      </c>
      <c r="J160" s="57">
        <v>74.2</v>
      </c>
      <c r="K160" s="57">
        <v>0.02</v>
      </c>
      <c r="L160" s="57">
        <v>0.02</v>
      </c>
      <c r="M160" s="57">
        <v>21</v>
      </c>
      <c r="N160" s="57">
        <v>0.2</v>
      </c>
      <c r="O160" s="57">
        <v>2</v>
      </c>
      <c r="P160" s="57">
        <v>122</v>
      </c>
      <c r="Q160" s="57">
        <v>285</v>
      </c>
      <c r="R160" s="57">
        <v>28</v>
      </c>
      <c r="S160" s="57">
        <v>24</v>
      </c>
      <c r="T160" s="57">
        <v>32</v>
      </c>
      <c r="U160" s="57">
        <v>1</v>
      </c>
      <c r="V160" s="57">
        <v>11.1</v>
      </c>
      <c r="W160" s="57">
        <v>0.3</v>
      </c>
    </row>
    <row r="161" spans="1:25" s="31" customFormat="1" ht="37.15" customHeight="1" x14ac:dyDescent="0.25">
      <c r="B161" s="120" t="s">
        <v>117</v>
      </c>
      <c r="C161" s="127" t="s">
        <v>35</v>
      </c>
      <c r="D161" s="122" t="s">
        <v>118</v>
      </c>
      <c r="E161" s="123"/>
      <c r="F161" s="163">
        <v>250</v>
      </c>
      <c r="G161" s="124">
        <v>15.22</v>
      </c>
      <c r="H161" s="124">
        <v>5.43</v>
      </c>
      <c r="I161" s="124">
        <v>24</v>
      </c>
      <c r="J161" s="124">
        <v>199.98</v>
      </c>
      <c r="K161" s="124">
        <v>0.18</v>
      </c>
      <c r="L161" s="124">
        <v>0.05</v>
      </c>
      <c r="M161" s="124">
        <v>22</v>
      </c>
      <c r="N161" s="124">
        <v>0.93</v>
      </c>
      <c r="O161" s="124">
        <v>6</v>
      </c>
      <c r="P161" s="124">
        <v>175.25</v>
      </c>
      <c r="Q161" s="124">
        <v>573.5</v>
      </c>
      <c r="R161" s="124">
        <v>36.5</v>
      </c>
      <c r="S161" s="124">
        <v>36.75</v>
      </c>
      <c r="T161" s="124">
        <v>100.25</v>
      </c>
      <c r="U161" s="124">
        <v>2.25</v>
      </c>
      <c r="V161" s="124">
        <v>18.93</v>
      </c>
      <c r="W161" s="124">
        <v>0.48</v>
      </c>
    </row>
    <row r="162" spans="1:25" s="31" customFormat="1" ht="19.149999999999999" customHeight="1" x14ac:dyDescent="0.25">
      <c r="B162" s="120" t="s">
        <v>63</v>
      </c>
      <c r="C162" s="128" t="s">
        <v>35</v>
      </c>
      <c r="D162" s="129" t="s">
        <v>64</v>
      </c>
      <c r="E162" s="130"/>
      <c r="F162" s="163">
        <v>200</v>
      </c>
      <c r="G162" s="124">
        <v>11</v>
      </c>
      <c r="H162" s="124">
        <v>8.6999999999999993</v>
      </c>
      <c r="I162" s="124">
        <v>57</v>
      </c>
      <c r="J162" s="124">
        <v>349.9</v>
      </c>
      <c r="K162" s="124">
        <v>0.35</v>
      </c>
      <c r="L162" s="124">
        <v>0.15</v>
      </c>
      <c r="M162" s="124">
        <v>27</v>
      </c>
      <c r="N162" s="124">
        <v>3.1</v>
      </c>
      <c r="O162" s="124">
        <v>0</v>
      </c>
      <c r="P162" s="124">
        <v>256</v>
      </c>
      <c r="Q162" s="124">
        <v>156</v>
      </c>
      <c r="R162" s="124">
        <v>62</v>
      </c>
      <c r="S162" s="124">
        <v>79</v>
      </c>
      <c r="T162" s="124">
        <v>240</v>
      </c>
      <c r="U162" s="124">
        <v>6</v>
      </c>
      <c r="V162" s="124">
        <v>26.7</v>
      </c>
      <c r="W162" s="124">
        <v>4.7</v>
      </c>
    </row>
    <row r="163" spans="1:25" s="31" customFormat="1" ht="19.149999999999999" customHeight="1" x14ac:dyDescent="0.25">
      <c r="A163" s="25"/>
      <c r="B163" s="49" t="s">
        <v>119</v>
      </c>
      <c r="C163" s="50" t="s">
        <v>35</v>
      </c>
      <c r="D163" s="55" t="s">
        <v>120</v>
      </c>
      <c r="E163" s="56"/>
      <c r="F163" s="51">
        <v>100</v>
      </c>
      <c r="G163" s="57">
        <v>16.760000000000002</v>
      </c>
      <c r="H163" s="57">
        <v>17.5</v>
      </c>
      <c r="I163" s="57">
        <v>6.67</v>
      </c>
      <c r="J163" s="57">
        <v>284.22000000000003</v>
      </c>
      <c r="K163" s="57">
        <v>0.21</v>
      </c>
      <c r="L163" s="57">
        <v>1.66</v>
      </c>
      <c r="M163" s="57">
        <v>4735</v>
      </c>
      <c r="N163" s="57">
        <v>6.75</v>
      </c>
      <c r="O163" s="57">
        <v>12.5</v>
      </c>
      <c r="P163" s="57">
        <v>717.5</v>
      </c>
      <c r="Q163" s="57">
        <v>297.5</v>
      </c>
      <c r="R163" s="57">
        <v>40</v>
      </c>
      <c r="S163" s="57">
        <v>18.75</v>
      </c>
      <c r="T163" s="57">
        <v>275</v>
      </c>
      <c r="U163" s="57">
        <v>5</v>
      </c>
      <c r="V163" s="57">
        <v>70.88</v>
      </c>
      <c r="W163" s="57">
        <v>32.880000000000003</v>
      </c>
    </row>
    <row r="164" spans="1:25" s="31" customFormat="1" ht="49.9" customHeight="1" x14ac:dyDescent="0.25">
      <c r="A164" s="25"/>
      <c r="B164" s="52" t="s">
        <v>39</v>
      </c>
      <c r="C164" s="58"/>
      <c r="D164" s="55" t="s">
        <v>40</v>
      </c>
      <c r="E164" s="56"/>
      <c r="F164" s="51">
        <v>34</v>
      </c>
      <c r="G164" s="57">
        <f>4.28/40*34</f>
        <v>3.6380000000000003</v>
      </c>
      <c r="H164" s="57">
        <f>1.8/40*34</f>
        <v>1.53</v>
      </c>
      <c r="I164" s="57">
        <f>17.4/40*34</f>
        <v>14.789999999999997</v>
      </c>
      <c r="J164" s="57">
        <f>109.6/40*34</f>
        <v>93.16</v>
      </c>
      <c r="K164" s="57">
        <f>0.164/40*34</f>
        <v>0.13940000000000002</v>
      </c>
      <c r="L164" s="57">
        <f>0.101/40*34</f>
        <v>8.585000000000001E-2</v>
      </c>
      <c r="M164" s="57">
        <v>0</v>
      </c>
      <c r="N164" s="57">
        <f>2.24/40*34</f>
        <v>1.9040000000000004</v>
      </c>
      <c r="O164" s="57">
        <f>0.06/30*34</f>
        <v>6.8000000000000005E-2</v>
      </c>
      <c r="P164" s="57">
        <f>189.2/40*34</f>
        <v>160.82</v>
      </c>
      <c r="Q164" s="57">
        <f>50/40*34</f>
        <v>42.5</v>
      </c>
      <c r="R164" s="57">
        <f>1.96/40*34</f>
        <v>1.6660000000000001</v>
      </c>
      <c r="S164" s="57">
        <f>16.4/40*34</f>
        <v>13.94</v>
      </c>
      <c r="T164" s="57">
        <f>51.6/40*34</f>
        <v>43.86</v>
      </c>
      <c r="U164" s="57">
        <f>1.44/40*34</f>
        <v>1.224</v>
      </c>
      <c r="V164" s="57">
        <v>0</v>
      </c>
      <c r="W164" s="57">
        <f>11.52/40*34</f>
        <v>9.7919999999999998</v>
      </c>
    </row>
    <row r="165" spans="1:25" s="31" customFormat="1" ht="51.6" customHeight="1" x14ac:dyDescent="0.25">
      <c r="A165" s="25"/>
      <c r="B165" s="52" t="s">
        <v>39</v>
      </c>
      <c r="C165" s="50"/>
      <c r="D165" s="55" t="s">
        <v>41</v>
      </c>
      <c r="E165" s="56"/>
      <c r="F165" s="51">
        <v>34</v>
      </c>
      <c r="G165" s="57">
        <f>3.4/40*34</f>
        <v>2.8899999999999997</v>
      </c>
      <c r="H165" s="57">
        <f>1.32/40*34</f>
        <v>1.1220000000000001</v>
      </c>
      <c r="I165" s="57">
        <f>17/40*34</f>
        <v>14.45</v>
      </c>
      <c r="J165" s="57">
        <f>103.6/40*34</f>
        <v>88.06</v>
      </c>
      <c r="K165" s="57">
        <f>0.17/40*34</f>
        <v>0.14450000000000002</v>
      </c>
      <c r="L165" s="57">
        <f>0.13/40*34</f>
        <v>0.11050000000000001</v>
      </c>
      <c r="M165" s="57">
        <v>0</v>
      </c>
      <c r="N165" s="57">
        <f>1.52/40*34</f>
        <v>1.292</v>
      </c>
      <c r="O165" s="57">
        <f>0.16/40*34</f>
        <v>0.13600000000000001</v>
      </c>
      <c r="P165" s="57">
        <f>241.2/40*34</f>
        <v>205.01999999999998</v>
      </c>
      <c r="Q165" s="57">
        <f>29.2/40*34</f>
        <v>24.82</v>
      </c>
      <c r="R165" s="57">
        <f>0.48/40*34</f>
        <v>0.40800000000000003</v>
      </c>
      <c r="S165" s="57">
        <f>16/40*34</f>
        <v>13.600000000000001</v>
      </c>
      <c r="T165" s="57">
        <f>50/40*34</f>
        <v>42.5</v>
      </c>
      <c r="U165" s="57">
        <f>1.13/40*34</f>
        <v>0.96049999999999991</v>
      </c>
      <c r="V165" s="57">
        <v>0</v>
      </c>
      <c r="W165" s="57">
        <f>12.36/40*34</f>
        <v>10.506</v>
      </c>
    </row>
    <row r="166" spans="1:25" s="31" customFormat="1" ht="52.15" customHeight="1" x14ac:dyDescent="0.25">
      <c r="A166" s="25"/>
      <c r="B166" s="49" t="s">
        <v>121</v>
      </c>
      <c r="C166" s="50" t="s">
        <v>35</v>
      </c>
      <c r="D166" s="55" t="s">
        <v>122</v>
      </c>
      <c r="E166" s="56"/>
      <c r="F166" s="51">
        <v>200</v>
      </c>
      <c r="G166" s="57">
        <v>0.3</v>
      </c>
      <c r="H166" s="57">
        <v>0</v>
      </c>
      <c r="I166" s="57">
        <v>6.7</v>
      </c>
      <c r="J166" s="57">
        <v>27.6</v>
      </c>
      <c r="K166" s="57">
        <v>0</v>
      </c>
      <c r="L166" s="57">
        <v>0.01</v>
      </c>
      <c r="M166" s="57">
        <v>0</v>
      </c>
      <c r="N166" s="57">
        <v>7.0000000000000007E-2</v>
      </c>
      <c r="O166" s="57">
        <v>1</v>
      </c>
      <c r="P166" s="57">
        <v>2</v>
      </c>
      <c r="Q166" s="57">
        <v>36</v>
      </c>
      <c r="R166" s="57">
        <v>6</v>
      </c>
      <c r="S166" s="57">
        <v>5</v>
      </c>
      <c r="T166" s="57">
        <v>8</v>
      </c>
      <c r="U166" s="57">
        <v>1</v>
      </c>
      <c r="V166" s="57">
        <v>0</v>
      </c>
      <c r="W166" s="57">
        <v>0</v>
      </c>
    </row>
    <row r="167" spans="1:25" s="31" customFormat="1" ht="32.450000000000003" customHeight="1" x14ac:dyDescent="0.25">
      <c r="A167" s="25"/>
      <c r="B167" s="68"/>
      <c r="C167" s="69"/>
      <c r="D167" s="70" t="s">
        <v>46</v>
      </c>
      <c r="E167" s="71"/>
      <c r="F167" s="48">
        <f t="shared" ref="F167:W167" si="9">SUM(F160:F166)</f>
        <v>878</v>
      </c>
      <c r="G167" s="92">
        <f t="shared" si="9"/>
        <v>50.808</v>
      </c>
      <c r="H167" s="92">
        <f t="shared" si="9"/>
        <v>37.481999999999999</v>
      </c>
      <c r="I167" s="92">
        <f t="shared" si="9"/>
        <v>133.91</v>
      </c>
      <c r="J167" s="92">
        <f t="shared" si="9"/>
        <v>1117.1199999999999</v>
      </c>
      <c r="K167" s="92">
        <f t="shared" si="9"/>
        <v>1.0439000000000001</v>
      </c>
      <c r="L167" s="92">
        <f t="shared" si="9"/>
        <v>2.0863499999999995</v>
      </c>
      <c r="M167" s="92">
        <f t="shared" si="9"/>
        <v>4805</v>
      </c>
      <c r="N167" s="92">
        <f t="shared" si="9"/>
        <v>14.246</v>
      </c>
      <c r="O167" s="92">
        <f t="shared" si="9"/>
        <v>21.704000000000001</v>
      </c>
      <c r="P167" s="92">
        <f t="shared" si="9"/>
        <v>1638.59</v>
      </c>
      <c r="Q167" s="92">
        <f t="shared" si="9"/>
        <v>1415.32</v>
      </c>
      <c r="R167" s="92">
        <f t="shared" si="9"/>
        <v>174.57399999999998</v>
      </c>
      <c r="S167" s="92">
        <f t="shared" si="9"/>
        <v>191.04</v>
      </c>
      <c r="T167" s="92">
        <f t="shared" si="9"/>
        <v>741.61</v>
      </c>
      <c r="U167" s="92">
        <f t="shared" si="9"/>
        <v>17.4345</v>
      </c>
      <c r="V167" s="92">
        <f t="shared" si="9"/>
        <v>127.61</v>
      </c>
      <c r="W167" s="92">
        <f t="shared" si="9"/>
        <v>58.658000000000001</v>
      </c>
    </row>
    <row r="168" spans="1:25" s="31" customFormat="1" ht="33" customHeight="1" x14ac:dyDescent="0.25">
      <c r="A168" s="1"/>
      <c r="B168" s="54"/>
      <c r="C168" s="170" t="s">
        <v>125</v>
      </c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</row>
    <row r="169" spans="1:25" s="31" customFormat="1" ht="50.45" customHeight="1" x14ac:dyDescent="0.25">
      <c r="A169" s="1"/>
      <c r="B169" s="171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</row>
    <row r="170" spans="1:25" s="31" customFormat="1" ht="24.6" customHeight="1" x14ac:dyDescent="0.25">
      <c r="A170" s="1"/>
      <c r="B170" s="172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</row>
    <row r="171" spans="1:25" ht="23.45" customHeight="1" x14ac:dyDescent="0.25">
      <c r="B171" s="173" t="s">
        <v>126</v>
      </c>
      <c r="C171" s="173"/>
      <c r="D171" s="173"/>
      <c r="E171" s="173"/>
      <c r="F171" s="173"/>
      <c r="G171" s="173"/>
      <c r="H171" s="173"/>
      <c r="I171" s="173"/>
      <c r="J171" s="173"/>
      <c r="K171" s="173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/>
      <c r="Y171"/>
    </row>
    <row r="172" spans="1:25" ht="20.45" customHeight="1" x14ac:dyDescent="0.25">
      <c r="B172" s="175">
        <v>1</v>
      </c>
      <c r="C172" s="176" t="s">
        <v>127</v>
      </c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/>
      <c r="Y172"/>
    </row>
    <row r="173" spans="1:25" s="31" customFormat="1" ht="18.75" x14ac:dyDescent="0.25">
      <c r="A173" s="1"/>
      <c r="B173" s="175">
        <v>2</v>
      </c>
      <c r="C173" s="177" t="s">
        <v>51</v>
      </c>
      <c r="D173" s="177"/>
      <c r="E173" s="177"/>
      <c r="F173" s="177"/>
      <c r="G173" s="177"/>
      <c r="H173" s="177"/>
      <c r="I173" s="177"/>
      <c r="J173" s="177"/>
      <c r="K173" s="177"/>
      <c r="L173" s="177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</row>
    <row r="174" spans="1:25" s="31" customFormat="1" ht="18.600000000000001" customHeight="1" x14ac:dyDescent="0.25">
      <c r="A174" s="1"/>
      <c r="B174" s="175">
        <v>3</v>
      </c>
      <c r="C174" s="177" t="s">
        <v>59</v>
      </c>
      <c r="D174" s="177"/>
      <c r="E174" s="177"/>
      <c r="F174" s="177"/>
      <c r="G174" s="177"/>
      <c r="H174" s="177"/>
      <c r="I174" s="177"/>
      <c r="J174" s="177"/>
      <c r="K174" s="177"/>
      <c r="L174" s="177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</row>
    <row r="175" spans="1:25" s="31" customFormat="1" ht="16.899999999999999" customHeight="1" x14ac:dyDescent="0.25">
      <c r="A175" s="1"/>
      <c r="B175" s="175">
        <v>4</v>
      </c>
      <c r="C175" s="178" t="s">
        <v>89</v>
      </c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4"/>
      <c r="T175" s="174"/>
      <c r="U175" s="174"/>
      <c r="V175" s="174"/>
      <c r="W175" s="174"/>
    </row>
    <row r="176" spans="1:25" s="31" customFormat="1" ht="18" customHeight="1" x14ac:dyDescent="0.25">
      <c r="A176" s="1"/>
      <c r="B176" s="174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</row>
    <row r="177" spans="1:25" s="31" customFormat="1" ht="19.149999999999999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5" s="31" customFormat="1" ht="35.450000000000003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5" s="31" customFormat="1" ht="19.899999999999999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5" s="31" customFormat="1" ht="54.6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5" s="31" customFormat="1" ht="51.6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5" s="31" customFormat="1" ht="54.6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5" s="31" customFormat="1" ht="52.1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5" s="31" customFormat="1" ht="32.450000000000003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5" s="31" customFormat="1" ht="33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5" s="31" customFormat="1" ht="52.1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5" ht="26.45" customHeight="1" x14ac:dyDescent="0.25">
      <c r="X187"/>
      <c r="Y187"/>
    </row>
    <row r="188" spans="1:25" ht="18" customHeight="1" x14ac:dyDescent="0.25">
      <c r="X188"/>
      <c r="Y188"/>
    </row>
    <row r="189" spans="1:25" ht="18" customHeight="1" x14ac:dyDescent="0.25"/>
    <row r="192" spans="1:25" ht="15" customHeight="1" x14ac:dyDescent="0.25">
      <c r="X192" s="54"/>
      <c r="Y192" s="54"/>
    </row>
    <row r="193" spans="1:25" x14ac:dyDescent="0.25">
      <c r="X193" s="54"/>
      <c r="Y193" s="54"/>
    </row>
    <row r="194" spans="1:25" x14ac:dyDescent="0.25">
      <c r="X194" s="54"/>
      <c r="Y194" s="54"/>
    </row>
    <row r="195" spans="1:25" s="31" customFormat="1" ht="70.900000000000006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43"/>
      <c r="Y195" s="43"/>
    </row>
    <row r="196" spans="1:25" s="31" customFormat="1" ht="69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43"/>
      <c r="Y196" s="43"/>
    </row>
    <row r="197" spans="1:25" s="31" customFormat="1" ht="32.450000000000003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43"/>
      <c r="Y197" s="43"/>
    </row>
    <row r="198" spans="1:25" s="31" customFormat="1" ht="33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43"/>
      <c r="Y198" s="43"/>
    </row>
    <row r="199" spans="1:25" s="31" customFormat="1" ht="67.900000000000006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43"/>
      <c r="Y199" s="43"/>
    </row>
    <row r="200" spans="1:25" s="31" customFormat="1" ht="37.1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43"/>
      <c r="Y200" s="43"/>
    </row>
    <row r="201" spans="1:25" ht="57.6" customHeight="1" x14ac:dyDescent="0.25">
      <c r="X201" s="67"/>
      <c r="Y201" s="54"/>
    </row>
    <row r="202" spans="1:25" s="31" customForma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43"/>
      <c r="Y202" s="43"/>
    </row>
    <row r="203" spans="1:25" s="31" customFormat="1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43"/>
      <c r="Y203" s="43"/>
    </row>
    <row r="204" spans="1:25" ht="19.149999999999999" customHeight="1" x14ac:dyDescent="0.25">
      <c r="X204" s="54"/>
      <c r="Y204" s="54"/>
    </row>
    <row r="205" spans="1:25" ht="33" hidden="1" customHeight="1" x14ac:dyDescent="0.25">
      <c r="X205" s="54"/>
      <c r="Y205" s="54"/>
    </row>
    <row r="206" spans="1:25" s="31" customFormat="1" ht="17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43"/>
      <c r="Y206" s="43"/>
    </row>
    <row r="207" spans="1:25" s="31" customFormat="1" ht="2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5"/>
      <c r="Y207" s="43"/>
    </row>
    <row r="208" spans="1:25" s="31" customFormat="1" ht="22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43"/>
      <c r="Y208" s="43"/>
    </row>
    <row r="209" spans="1:25" s="31" customFormat="1" ht="24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43"/>
      <c r="Y209" s="43"/>
    </row>
    <row r="210" spans="1:25" s="31" customFormat="1" ht="2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43"/>
      <c r="Y210" s="43"/>
    </row>
    <row r="211" spans="1:25" s="25" customFormat="1" ht="39.6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43"/>
      <c r="Y211" s="43"/>
    </row>
    <row r="212" spans="1:25" s="31" customFormat="1" ht="64.900000000000006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43"/>
      <c r="Y212" s="43"/>
    </row>
    <row r="213" spans="1:25" s="31" customFormat="1" ht="64.900000000000006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43"/>
      <c r="Y213" s="43"/>
    </row>
    <row r="214" spans="1:25" s="31" customFormat="1" ht="67.150000000000006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43"/>
      <c r="Y214" s="25"/>
    </row>
    <row r="215" spans="1:25" s="31" customFormat="1" ht="32.450000000000003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43"/>
      <c r="Y215" s="43"/>
    </row>
    <row r="216" spans="1:25" s="31" customFormat="1" ht="33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43"/>
      <c r="Y216" s="43"/>
    </row>
    <row r="217" spans="1:25" s="31" customFormat="1" ht="52.9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43"/>
      <c r="Y217" s="43"/>
    </row>
    <row r="218" spans="1:25" s="85" customFormat="1" ht="24.6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84"/>
      <c r="Y218" s="84"/>
    </row>
    <row r="219" spans="1:25" ht="24.6" customHeight="1" x14ac:dyDescent="0.25">
      <c r="X219" s="54"/>
      <c r="Y219" s="54"/>
    </row>
    <row r="220" spans="1:25" ht="23.45" customHeight="1" x14ac:dyDescent="0.25">
      <c r="X220" s="54"/>
      <c r="Y220" s="54"/>
    </row>
    <row r="221" spans="1:25" s="31" customFormat="1" ht="24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43"/>
      <c r="Y221" s="43"/>
    </row>
    <row r="222" spans="1:25" s="31" customFormat="1" ht="20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43"/>
      <c r="Y222" s="43"/>
    </row>
    <row r="223" spans="1:25" s="31" customFormat="1" ht="19.899999999999999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43"/>
      <c r="Y223" s="43"/>
    </row>
    <row r="224" spans="1:25" s="31" customFormat="1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43"/>
      <c r="Y224" s="43"/>
    </row>
    <row r="225" spans="1:25" s="31" customFormat="1" ht="18.60000000000000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43"/>
      <c r="Y225" s="43"/>
    </row>
    <row r="226" spans="1:25" s="31" customFormat="1" ht="4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88"/>
      <c r="Y226" s="43"/>
    </row>
    <row r="227" spans="1:25" s="31" customFormat="1" ht="54.6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43"/>
      <c r="Y227" s="43"/>
    </row>
    <row r="228" spans="1:25" s="31" customFormat="1" ht="52.1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43"/>
      <c r="Y228" s="43"/>
    </row>
    <row r="229" spans="1:25" s="31" customFormat="1" ht="32.450000000000003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43"/>
      <c r="Y229" s="43"/>
    </row>
    <row r="230" spans="1:25" s="31" customFormat="1" ht="33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43"/>
      <c r="Y230" s="43"/>
    </row>
    <row r="231" spans="1:25" s="31" customFormat="1" ht="50.4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88"/>
      <c r="Y231" s="43"/>
    </row>
    <row r="232" spans="1:25" s="83" customFormat="1" ht="15.6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84"/>
      <c r="Y232" s="84"/>
    </row>
    <row r="233" spans="1:25" s="1" customFormat="1" ht="19.149999999999999" customHeight="1" x14ac:dyDescent="0.25">
      <c r="X233" s="54"/>
      <c r="Y233" s="54"/>
    </row>
    <row r="234" spans="1:25" ht="21" customHeight="1" x14ac:dyDescent="0.25">
      <c r="X234" s="54"/>
      <c r="Y234" s="54"/>
    </row>
    <row r="235" spans="1:25" s="31" customForma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43"/>
      <c r="Y235" s="43"/>
    </row>
    <row r="236" spans="1:25" s="31" customForma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43"/>
      <c r="Y236" s="43"/>
    </row>
    <row r="237" spans="1:25" s="31" customForma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43"/>
      <c r="Y237" s="43"/>
    </row>
    <row r="238" spans="1:25" s="31" customForma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43"/>
      <c r="Y238" s="43"/>
    </row>
    <row r="239" spans="1:25" s="31" customForma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43"/>
      <c r="Y239" s="43"/>
    </row>
    <row r="240" spans="1:25" s="31" customFormat="1" ht="49.9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43"/>
      <c r="Y240" s="43"/>
    </row>
    <row r="241" spans="1:25" s="31" customFormat="1" ht="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43"/>
      <c r="Y241" s="43"/>
    </row>
    <row r="242" spans="1:25" s="31" customFormat="1" ht="32.450000000000003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43"/>
      <c r="Y242" s="43"/>
    </row>
    <row r="243" spans="1:25" s="31" customFormat="1" ht="33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43"/>
      <c r="Y243" s="43"/>
    </row>
    <row r="244" spans="1:25" s="31" customFormat="1" ht="51.6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43"/>
      <c r="Y244" s="43"/>
    </row>
    <row r="245" spans="1:25" s="31" customFormat="1" ht="37.1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43"/>
      <c r="Y245" s="43"/>
    </row>
    <row r="246" spans="1:25" s="31" customFormat="1" ht="1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43"/>
      <c r="Y246" s="43"/>
    </row>
    <row r="247" spans="1:25" ht="19.899999999999999" customHeight="1" x14ac:dyDescent="0.25">
      <c r="X247" s="54"/>
      <c r="Y247" s="54"/>
    </row>
    <row r="248" spans="1:25" ht="18.75" customHeight="1" x14ac:dyDescent="0.25">
      <c r="X248" s="54"/>
      <c r="Y248" s="54"/>
    </row>
    <row r="249" spans="1:25" s="31" customFormat="1" ht="19.149999999999999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43"/>
      <c r="Y249" s="43"/>
    </row>
    <row r="250" spans="1:25" s="31" customFormat="1" ht="19.899999999999999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43"/>
      <c r="Y250" s="43"/>
    </row>
    <row r="251" spans="1:25" s="31" customFormat="1" ht="22.9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43"/>
      <c r="Y251" s="43"/>
    </row>
    <row r="252" spans="1:25" s="31" customForma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5"/>
      <c r="Y252" s="43"/>
    </row>
    <row r="253" spans="1:25" s="31" customForma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43"/>
      <c r="Y253" s="43"/>
    </row>
    <row r="254" spans="1:25" s="31" customFormat="1" ht="52.9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43"/>
      <c r="Y254" s="43"/>
    </row>
    <row r="255" spans="1:25" s="31" customFormat="1" ht="45.6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43"/>
      <c r="Y255" s="43"/>
    </row>
    <row r="256" spans="1:25" s="31" customFormat="1" ht="62.4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43"/>
      <c r="Y256" s="43"/>
    </row>
    <row r="257" spans="1:25" s="31" customFormat="1" ht="64.900000000000006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43"/>
      <c r="Y257" s="43"/>
    </row>
    <row r="258" spans="1:25" s="31" customFormat="1" ht="32.450000000000003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43"/>
      <c r="Y258" s="43"/>
    </row>
    <row r="259" spans="1:25" s="31" customFormat="1" ht="33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43"/>
      <c r="Y259" s="43"/>
    </row>
    <row r="260" spans="1:25" s="31" customFormat="1" ht="52.1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43"/>
      <c r="Y260" s="43"/>
    </row>
    <row r="261" spans="1:25" s="31" customFormat="1" ht="17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43"/>
      <c r="Y261" s="43"/>
    </row>
    <row r="262" spans="1:25" s="31" customFormat="1" ht="20.4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43"/>
      <c r="Y262" s="43"/>
    </row>
    <row r="263" spans="1:25" s="31" customFormat="1" ht="19.899999999999999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43"/>
      <c r="Y263" s="43"/>
    </row>
    <row r="264" spans="1:25" s="31" customFormat="1" ht="22.1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43"/>
      <c r="Y264" s="43"/>
    </row>
    <row r="265" spans="1:25" s="31" customFormat="1" ht="2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43"/>
      <c r="Y265" s="43"/>
    </row>
    <row r="266" spans="1:25" s="31" customFormat="1" ht="2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43"/>
      <c r="Y266" s="43"/>
    </row>
    <row r="267" spans="1:25" s="31" customFormat="1" ht="18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43"/>
      <c r="Y267" s="43"/>
    </row>
    <row r="268" spans="1:25" s="31" customFormat="1" ht="23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43"/>
      <c r="Y268" s="43"/>
    </row>
    <row r="269" spans="1:25" ht="20.25" customHeight="1" x14ac:dyDescent="0.25">
      <c r="Y269" s="54"/>
    </row>
    <row r="270" spans="1:25" s="31" customFormat="1" ht="65.4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43"/>
      <c r="Y270" s="43"/>
    </row>
    <row r="271" spans="1:25" s="31" customFormat="1" ht="46.9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5"/>
      <c r="Y271" s="43"/>
    </row>
    <row r="272" spans="1:25" s="31" customFormat="1" ht="32.450000000000003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43"/>
      <c r="Y272" s="43"/>
    </row>
    <row r="273" spans="1:25" s="31" customFormat="1" ht="33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43"/>
      <c r="Y273" s="43"/>
    </row>
    <row r="274" spans="1:25" s="31" customFormat="1" ht="52.1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43"/>
      <c r="Y274" s="43"/>
    </row>
    <row r="275" spans="1:25" s="31" customFormat="1" ht="54.6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88"/>
      <c r="Y275" s="43"/>
    </row>
    <row r="276" spans="1:25" s="31" customFormat="1" ht="2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88"/>
      <c r="Y276" s="43"/>
    </row>
    <row r="277" spans="1:25" s="31" customFormat="1" ht="2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43"/>
      <c r="Y277" s="43"/>
    </row>
    <row r="278" spans="1:25" ht="22.15" customHeight="1" x14ac:dyDescent="0.25">
      <c r="X278" s="54"/>
      <c r="Y278" s="54"/>
    </row>
    <row r="279" spans="1:25" s="31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43"/>
      <c r="Y279" s="43"/>
    </row>
    <row r="280" spans="1:25" s="31" customFormat="1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43"/>
      <c r="Y280" s="43"/>
    </row>
    <row r="281" spans="1:25" s="31" customFormat="1" ht="16.899999999999999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88"/>
      <c r="Y281" s="43"/>
    </row>
    <row r="282" spans="1:25" s="31" customFormat="1" ht="18.60000000000000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88"/>
      <c r="Y282" s="43"/>
    </row>
    <row r="283" spans="1:25" s="31" customFormat="1" ht="20.4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88"/>
      <c r="Y283" s="43"/>
    </row>
    <row r="284" spans="1:25" s="31" customFormat="1" ht="65.4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25"/>
      <c r="Y284" s="125"/>
    </row>
    <row r="285" spans="1:25" s="31" customFormat="1" ht="55.1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88"/>
      <c r="Y285" s="43"/>
    </row>
    <row r="286" spans="1:25" s="31" customFormat="1" ht="67.150000000000006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43"/>
      <c r="Y286" s="25"/>
    </row>
    <row r="287" spans="1:25" s="31" customFormat="1" ht="32.450000000000003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43"/>
      <c r="Y287" s="43"/>
    </row>
    <row r="288" spans="1:25" s="31" customFormat="1" ht="33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43"/>
      <c r="Y288" s="43"/>
    </row>
    <row r="289" spans="1:25" s="31" customFormat="1" ht="63.6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43"/>
      <c r="Y289" s="43"/>
    </row>
    <row r="290" spans="1:25" s="31" customFormat="1" ht="29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43"/>
      <c r="Y290" s="43"/>
    </row>
    <row r="291" spans="1:25" s="31" customFormat="1" ht="20.4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43"/>
      <c r="Y291" s="43"/>
    </row>
    <row r="292" spans="1:25" s="31" customFormat="1" ht="22.9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43"/>
      <c r="Y292" s="43"/>
    </row>
    <row r="293" spans="1:25" s="31" customFormat="1" ht="20.4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43"/>
      <c r="Y293" s="43"/>
    </row>
    <row r="294" spans="1:25" s="31" customFormat="1" ht="24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5"/>
      <c r="Y294" s="43"/>
    </row>
    <row r="295" spans="1:25" s="31" customFormat="1" ht="24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88"/>
      <c r="Y295" s="43"/>
    </row>
    <row r="296" spans="1:25" s="31" customFormat="1" ht="29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88"/>
      <c r="Y296" s="43"/>
    </row>
    <row r="297" spans="1:25" s="31" customFormat="1" ht="23.4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88"/>
      <c r="Y297" s="43"/>
    </row>
    <row r="298" spans="1:25" ht="17.25" customHeight="1" x14ac:dyDescent="0.25">
      <c r="X298" s="67"/>
      <c r="Y298" s="54"/>
    </row>
    <row r="299" spans="1:25" s="31" customFormat="1" ht="51.6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88"/>
      <c r="Y299" s="43"/>
    </row>
    <row r="300" spans="1:25" s="31" customFormat="1" ht="73.900000000000006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43"/>
      <c r="Y300" s="43"/>
    </row>
    <row r="301" spans="1:25" s="31" customFormat="1" ht="64.900000000000006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43"/>
      <c r="Y301" s="43"/>
    </row>
    <row r="302" spans="1:25" s="31" customFormat="1" ht="40.9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43"/>
      <c r="Y302" s="43"/>
    </row>
    <row r="303" spans="1:25" s="31" customFormat="1" ht="64.900000000000006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43"/>
      <c r="Y303" s="43"/>
    </row>
    <row r="304" spans="1:25" s="31" customFormat="1" ht="32.450000000000003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43"/>
      <c r="Y304" s="43"/>
    </row>
    <row r="305" spans="1:25" s="31" customFormat="1" ht="33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43"/>
      <c r="Y305" s="43"/>
    </row>
    <row r="306" spans="1:25" s="31" customFormat="1" ht="5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43"/>
      <c r="Y306" s="43"/>
    </row>
    <row r="307" spans="1:25" s="31" customFormat="1" ht="27.6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43"/>
      <c r="Y307" s="43"/>
    </row>
    <row r="308" spans="1:25" x14ac:dyDescent="0.25">
      <c r="X308" s="54"/>
      <c r="Y308" s="54"/>
    </row>
    <row r="309" spans="1:25" ht="20.45" customHeight="1" x14ac:dyDescent="0.25">
      <c r="X309" s="54"/>
      <c r="Y309" s="54"/>
    </row>
    <row r="310" spans="1:25" s="31" customFormat="1" ht="19.899999999999999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43"/>
      <c r="Y310" s="43"/>
    </row>
    <row r="311" spans="1:25" s="31" customFormat="1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5"/>
      <c r="Y311" s="43"/>
    </row>
    <row r="312" spans="1:25" s="31" customForma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88"/>
      <c r="Y312" s="43"/>
    </row>
    <row r="313" spans="1:25" s="31" customFormat="1" ht="18.60000000000000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88"/>
      <c r="Y313" s="43"/>
    </row>
    <row r="314" spans="1:25" s="31" customFormat="1" ht="19.149999999999999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43"/>
      <c r="Y314" s="43"/>
    </row>
    <row r="315" spans="1:25" s="31" customFormat="1" ht="62.4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43"/>
      <c r="Y315" s="43"/>
    </row>
    <row r="316" spans="1:25" s="31" customFormat="1" ht="66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43"/>
      <c r="Y316" s="43"/>
    </row>
    <row r="317" spans="1:25" s="31" customFormat="1" ht="52.1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43"/>
      <c r="Y317" s="43"/>
    </row>
    <row r="318" spans="1:25" s="31" customFormat="1" ht="32.450000000000003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43"/>
      <c r="Y318" s="43"/>
    </row>
    <row r="319" spans="1:25" s="31" customFormat="1" ht="33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43"/>
      <c r="Y319" s="43"/>
    </row>
    <row r="320" spans="1:25" s="31" customFormat="1" ht="66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88"/>
      <c r="Y320" s="43"/>
    </row>
    <row r="321" spans="1:25" s="31" customFormat="1" ht="24.6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43"/>
      <c r="Y321" s="43"/>
    </row>
    <row r="322" spans="1:25" ht="21" customHeight="1" x14ac:dyDescent="0.25">
      <c r="X322" s="54"/>
      <c r="Y322" s="54"/>
    </row>
    <row r="323" spans="1:25" ht="25.15" customHeight="1" x14ac:dyDescent="0.25">
      <c r="X323" s="54"/>
      <c r="Y323" s="54"/>
    </row>
    <row r="324" spans="1:25" s="31" customForma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43"/>
      <c r="Y324" s="43"/>
    </row>
    <row r="325" spans="1:25" s="31" customFormat="1" ht="18.60000000000000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43"/>
      <c r="Y325" s="43"/>
    </row>
    <row r="326" spans="1:25" s="31" customFormat="1" ht="16.899999999999999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88"/>
      <c r="Y326" s="43"/>
    </row>
    <row r="327" spans="1:25" s="31" customFormat="1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88"/>
      <c r="Y327" s="43"/>
    </row>
    <row r="328" spans="1:25" s="31" customFormat="1" ht="19.899999999999999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43"/>
      <c r="Y328" s="43"/>
    </row>
    <row r="329" spans="1:25" s="31" customFormat="1" ht="61.1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43"/>
      <c r="Y329" s="43"/>
    </row>
    <row r="330" spans="1:25" s="31" customFormat="1" ht="51.6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Y330" s="125"/>
    </row>
    <row r="331" spans="1:25" s="31" customFormat="1" ht="54.6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25"/>
      <c r="Y331" s="125"/>
    </row>
    <row r="332" spans="1:25" s="31" customFormat="1" ht="64.900000000000006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43"/>
      <c r="Y332" s="43"/>
    </row>
    <row r="333" spans="1:25" s="31" customFormat="1" ht="32.450000000000003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43"/>
      <c r="Y333" s="43"/>
    </row>
    <row r="334" spans="1:25" s="31" customFormat="1" ht="33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43"/>
      <c r="Y334" s="43"/>
    </row>
    <row r="335" spans="1:25" s="31" customFormat="1" ht="52.1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43"/>
      <c r="Y335" s="43"/>
    </row>
    <row r="336" spans="1:25" s="31" customFormat="1" ht="26.4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88"/>
      <c r="Y336" s="43"/>
    </row>
    <row r="337" spans="24:25" ht="34.9" customHeight="1" x14ac:dyDescent="0.25">
      <c r="X337" s="54"/>
      <c r="Y337" s="54"/>
    </row>
    <row r="338" spans="24:25" ht="36" customHeight="1" x14ac:dyDescent="0.25">
      <c r="X338" s="54"/>
      <c r="Y338" s="54"/>
    </row>
    <row r="339" spans="24:25" ht="29.45" customHeight="1" x14ac:dyDescent="0.25">
      <c r="X339" s="54"/>
      <c r="Y339" s="54"/>
    </row>
    <row r="340" spans="24:25" ht="45" customHeight="1" x14ac:dyDescent="0.25">
      <c r="X340" s="54"/>
      <c r="Y340" s="54"/>
    </row>
    <row r="341" spans="24:25" ht="27" customHeight="1" x14ac:dyDescent="0.25">
      <c r="X341" s="54"/>
    </row>
    <row r="342" spans="24:25" ht="24" customHeight="1" x14ac:dyDescent="0.25">
      <c r="X342" s="54"/>
      <c r="Y342" s="54"/>
    </row>
    <row r="343" spans="24:25" ht="30.6" customHeight="1" x14ac:dyDescent="0.25">
      <c r="X343" s="54"/>
      <c r="Y343" s="54"/>
    </row>
    <row r="344" spans="24:25" ht="19.149999999999999" customHeight="1" x14ac:dyDescent="0.25">
      <c r="X344" s="54"/>
      <c r="Y344" s="54"/>
    </row>
    <row r="345" spans="24:25" ht="58.5" customHeight="1" x14ac:dyDescent="0.25">
      <c r="X345" s="54"/>
      <c r="Y345" s="54"/>
    </row>
  </sheetData>
  <mergeCells count="213">
    <mergeCell ref="C168:W170"/>
    <mergeCell ref="B171:K171"/>
    <mergeCell ref="C172:W172"/>
    <mergeCell ref="C173:L173"/>
    <mergeCell ref="C174:L174"/>
    <mergeCell ref="C175:R175"/>
    <mergeCell ref="D162:E162"/>
    <mergeCell ref="D163:E163"/>
    <mergeCell ref="D164:E164"/>
    <mergeCell ref="D165:E165"/>
    <mergeCell ref="D166:E166"/>
    <mergeCell ref="D167:E167"/>
    <mergeCell ref="J157:J158"/>
    <mergeCell ref="K157:O157"/>
    <mergeCell ref="P157:W157"/>
    <mergeCell ref="B159:W159"/>
    <mergeCell ref="D160:E160"/>
    <mergeCell ref="D161:E161"/>
    <mergeCell ref="B156:C156"/>
    <mergeCell ref="E156:I156"/>
    <mergeCell ref="B157:B158"/>
    <mergeCell ref="C157:C158"/>
    <mergeCell ref="D157:E158"/>
    <mergeCell ref="F157:F158"/>
    <mergeCell ref="G157:I157"/>
    <mergeCell ref="D148:E148"/>
    <mergeCell ref="D149:E149"/>
    <mergeCell ref="D150:E150"/>
    <mergeCell ref="D151:E151"/>
    <mergeCell ref="D152:E152"/>
    <mergeCell ref="B155:E155"/>
    <mergeCell ref="J143:J144"/>
    <mergeCell ref="K143:O143"/>
    <mergeCell ref="P143:W143"/>
    <mergeCell ref="B145:W145"/>
    <mergeCell ref="D146:E146"/>
    <mergeCell ref="D147:E147"/>
    <mergeCell ref="D137:E137"/>
    <mergeCell ref="D138:E138"/>
    <mergeCell ref="B141:E141"/>
    <mergeCell ref="B142:C142"/>
    <mergeCell ref="E142:I142"/>
    <mergeCell ref="B143:B144"/>
    <mergeCell ref="C143:C144"/>
    <mergeCell ref="D143:E144"/>
    <mergeCell ref="F143:F144"/>
    <mergeCell ref="G143:I143"/>
    <mergeCell ref="D131:E131"/>
    <mergeCell ref="D132:E132"/>
    <mergeCell ref="D133:E133"/>
    <mergeCell ref="D134:E134"/>
    <mergeCell ref="D135:E135"/>
    <mergeCell ref="D136:E136"/>
    <mergeCell ref="J126:J127"/>
    <mergeCell ref="K126:O126"/>
    <mergeCell ref="P126:W126"/>
    <mergeCell ref="B128:W128"/>
    <mergeCell ref="D129:E129"/>
    <mergeCell ref="D130:E130"/>
    <mergeCell ref="B125:C125"/>
    <mergeCell ref="E125:I125"/>
    <mergeCell ref="B126:B127"/>
    <mergeCell ref="C126:C127"/>
    <mergeCell ref="D126:E127"/>
    <mergeCell ref="F126:F127"/>
    <mergeCell ref="G126:I126"/>
    <mergeCell ref="D117:E117"/>
    <mergeCell ref="D118:E118"/>
    <mergeCell ref="D119:E119"/>
    <mergeCell ref="D120:E120"/>
    <mergeCell ref="D121:E121"/>
    <mergeCell ref="B124:E124"/>
    <mergeCell ref="J112:J113"/>
    <mergeCell ref="K112:O112"/>
    <mergeCell ref="P112:W112"/>
    <mergeCell ref="B114:W114"/>
    <mergeCell ref="D115:E115"/>
    <mergeCell ref="D116:E116"/>
    <mergeCell ref="B110:E110"/>
    <mergeCell ref="B111:C111"/>
    <mergeCell ref="E111:I111"/>
    <mergeCell ref="B112:B113"/>
    <mergeCell ref="C112:C113"/>
    <mergeCell ref="D112:E113"/>
    <mergeCell ref="F112:F113"/>
    <mergeCell ref="G112:I112"/>
    <mergeCell ref="D102:E102"/>
    <mergeCell ref="D103:E103"/>
    <mergeCell ref="D104:E104"/>
    <mergeCell ref="D105:E105"/>
    <mergeCell ref="D106:E106"/>
    <mergeCell ref="D107:E107"/>
    <mergeCell ref="J97:J98"/>
    <mergeCell ref="K97:O97"/>
    <mergeCell ref="P97:W97"/>
    <mergeCell ref="B99:W99"/>
    <mergeCell ref="D100:E100"/>
    <mergeCell ref="D101:E101"/>
    <mergeCell ref="B95:E95"/>
    <mergeCell ref="B96:C96"/>
    <mergeCell ref="E96:I96"/>
    <mergeCell ref="B97:B98"/>
    <mergeCell ref="C97:C98"/>
    <mergeCell ref="D97:E98"/>
    <mergeCell ref="F97:F98"/>
    <mergeCell ref="G97:I97"/>
    <mergeCell ref="D87:E87"/>
    <mergeCell ref="D88:E88"/>
    <mergeCell ref="D89:E89"/>
    <mergeCell ref="D90:E90"/>
    <mergeCell ref="D91:E91"/>
    <mergeCell ref="D92:E92"/>
    <mergeCell ref="J82:J83"/>
    <mergeCell ref="K82:O82"/>
    <mergeCell ref="P82:W82"/>
    <mergeCell ref="B84:W84"/>
    <mergeCell ref="D85:E85"/>
    <mergeCell ref="D86:E86"/>
    <mergeCell ref="B81:C81"/>
    <mergeCell ref="E81:I81"/>
    <mergeCell ref="B82:B83"/>
    <mergeCell ref="C82:C83"/>
    <mergeCell ref="D82:E83"/>
    <mergeCell ref="F82:F83"/>
    <mergeCell ref="G82:I82"/>
    <mergeCell ref="D73:E73"/>
    <mergeCell ref="D74:E74"/>
    <mergeCell ref="D75:E75"/>
    <mergeCell ref="D76:E76"/>
    <mergeCell ref="D77:E77"/>
    <mergeCell ref="B80:E80"/>
    <mergeCell ref="J68:J69"/>
    <mergeCell ref="K68:O68"/>
    <mergeCell ref="P68:W68"/>
    <mergeCell ref="B70:W70"/>
    <mergeCell ref="D71:E71"/>
    <mergeCell ref="D72:E72"/>
    <mergeCell ref="B67:C67"/>
    <mergeCell ref="E67:I67"/>
    <mergeCell ref="B68:B69"/>
    <mergeCell ref="C68:C69"/>
    <mergeCell ref="D68:E69"/>
    <mergeCell ref="F68:F69"/>
    <mergeCell ref="G68:I68"/>
    <mergeCell ref="D59:E59"/>
    <mergeCell ref="D60:E60"/>
    <mergeCell ref="D61:E61"/>
    <mergeCell ref="D62:E62"/>
    <mergeCell ref="D63:E63"/>
    <mergeCell ref="B66:E66"/>
    <mergeCell ref="J54:J55"/>
    <mergeCell ref="K54:O54"/>
    <mergeCell ref="P54:W54"/>
    <mergeCell ref="B56:W56"/>
    <mergeCell ref="D57:E57"/>
    <mergeCell ref="D58:E58"/>
    <mergeCell ref="B52:E52"/>
    <mergeCell ref="B53:C53"/>
    <mergeCell ref="E53:I53"/>
    <mergeCell ref="B54:B55"/>
    <mergeCell ref="C54:C55"/>
    <mergeCell ref="D54:E55"/>
    <mergeCell ref="F54:F55"/>
    <mergeCell ref="G54:I54"/>
    <mergeCell ref="D44:E44"/>
    <mergeCell ref="D45:E45"/>
    <mergeCell ref="D46:E46"/>
    <mergeCell ref="D47:E47"/>
    <mergeCell ref="D48:E48"/>
    <mergeCell ref="D49:E49"/>
    <mergeCell ref="J39:J40"/>
    <mergeCell ref="K39:O39"/>
    <mergeCell ref="P39:W39"/>
    <mergeCell ref="B41:W41"/>
    <mergeCell ref="D42:E42"/>
    <mergeCell ref="D43:E43"/>
    <mergeCell ref="D35:E35"/>
    <mergeCell ref="D36:E36"/>
    <mergeCell ref="B37:E37"/>
    <mergeCell ref="B38:C38"/>
    <mergeCell ref="E38:I38"/>
    <mergeCell ref="B39:B40"/>
    <mergeCell ref="C39:C40"/>
    <mergeCell ref="D39:E40"/>
    <mergeCell ref="F39:F40"/>
    <mergeCell ref="G39:I39"/>
    <mergeCell ref="D28:E28"/>
    <mergeCell ref="D29:E29"/>
    <mergeCell ref="D30:E30"/>
    <mergeCell ref="D31:E31"/>
    <mergeCell ref="D32:E32"/>
    <mergeCell ref="D33:E33"/>
    <mergeCell ref="J23:J24"/>
    <mergeCell ref="K23:O23"/>
    <mergeCell ref="P23:W23"/>
    <mergeCell ref="B25:W25"/>
    <mergeCell ref="D26:E26"/>
    <mergeCell ref="D27:E27"/>
    <mergeCell ref="B21:E21"/>
    <mergeCell ref="B22:C22"/>
    <mergeCell ref="E22:I22"/>
    <mergeCell ref="B23:B24"/>
    <mergeCell ref="C23:C24"/>
    <mergeCell ref="D23:E24"/>
    <mergeCell ref="F23:F24"/>
    <mergeCell ref="G23:I23"/>
    <mergeCell ref="C17:U18"/>
    <mergeCell ref="B2:V5"/>
    <mergeCell ref="C6:Q6"/>
    <mergeCell ref="Q7:U8"/>
    <mergeCell ref="L9:U9"/>
    <mergeCell ref="M10:V11"/>
    <mergeCell ref="P13:U1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rowBreaks count="11" manualBreakCount="11">
    <brk id="188" max="16383" man="1"/>
    <brk id="203" max="16383" man="1"/>
    <brk id="219" max="16383" man="1"/>
    <brk id="233" max="16383" man="1"/>
    <brk id="247" max="16383" man="1"/>
    <brk id="262" max="16383" man="1"/>
    <brk id="277" max="16383" man="1"/>
    <brk id="291" max="16383" man="1"/>
    <brk id="308" max="16383" man="1"/>
    <brk id="322" max="16383" man="1"/>
    <brk id="3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5-11 кл</vt:lpstr>
      <vt:lpstr>' 5-11 кл'!Область_печати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2023-11-29T02:04:34Z</dcterms:created>
  <dcterms:modified xsi:type="dcterms:W3CDTF">2023-11-29T02:09:34Z</dcterms:modified>
</cp:coreProperties>
</file>