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 activeTab="3"/>
  </bookViews>
  <sheets>
    <sheet name="1-4 кл" sheetId="4" r:id="rId1"/>
    <sheet name="5-11 кл" sheetId="13" r:id="rId2"/>
    <sheet name="ОВЗ и Д-И 7-10" sheetId="2" r:id="rId3"/>
    <sheet name="ОВЗ и Д-И 12-18" sheetId="14" r:id="rId4"/>
    <sheet name="Лист1" sheetId="9" r:id="rId5"/>
    <sheet name="Лист2" sheetId="10" r:id="rId6"/>
    <sheet name="Лист3" sheetId="11" r:id="rId7"/>
    <sheet name="Лист4" sheetId="12" r:id="rId8"/>
  </sheets>
  <definedNames>
    <definedName name="_xlnm.Print_Area" localSheetId="0">'1-4 кл'!$A$1:$J$147</definedName>
    <definedName name="_xlnm.Print_Area" localSheetId="1">'5-11 кл'!$A$1:$J$147</definedName>
    <definedName name="_xlnm.Print_Area" localSheetId="3">'ОВЗ и Д-И 12-18'!$A$16:$J$248</definedName>
    <definedName name="_xlnm.Print_Area" localSheetId="2">'ОВЗ и Д-И 7-10'!$A$16:$J$174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8" i="14" l="1"/>
  <c r="O208" i="14"/>
  <c r="P208" i="14"/>
  <c r="Q208" i="14"/>
  <c r="R208" i="14"/>
  <c r="S208" i="14"/>
  <c r="S211" i="14" s="1"/>
  <c r="T208" i="14"/>
  <c r="U208" i="14"/>
  <c r="V208" i="14"/>
  <c r="W208" i="14"/>
  <c r="X208" i="14"/>
  <c r="Y208" i="14"/>
  <c r="M208" i="14"/>
  <c r="G208" i="14"/>
  <c r="G211" i="14" s="1"/>
  <c r="H208" i="14"/>
  <c r="H211" i="14" s="1"/>
  <c r="I208" i="14"/>
  <c r="I211" i="14" s="1"/>
  <c r="F208" i="14"/>
  <c r="F211" i="14" s="1"/>
  <c r="N207" i="14"/>
  <c r="O207" i="14"/>
  <c r="P207" i="14"/>
  <c r="Q207" i="14"/>
  <c r="Q211" i="14" s="1"/>
  <c r="R207" i="14"/>
  <c r="S207" i="14"/>
  <c r="T207" i="14"/>
  <c r="U207" i="14"/>
  <c r="U211" i="14" s="1"/>
  <c r="V207" i="14"/>
  <c r="W207" i="14"/>
  <c r="X207" i="14"/>
  <c r="Y207" i="14"/>
  <c r="Y211" i="14" s="1"/>
  <c r="M207" i="14"/>
  <c r="G207" i="14"/>
  <c r="H207" i="14"/>
  <c r="I207" i="14"/>
  <c r="F207" i="14"/>
  <c r="N211" i="14"/>
  <c r="O211" i="14"/>
  <c r="P211" i="14"/>
  <c r="R211" i="14"/>
  <c r="T211" i="14"/>
  <c r="V211" i="14"/>
  <c r="W211" i="14"/>
  <c r="X211" i="14"/>
  <c r="M211" i="14"/>
  <c r="E211" i="14"/>
  <c r="N200" i="14"/>
  <c r="O200" i="14"/>
  <c r="P200" i="14"/>
  <c r="Q200" i="14"/>
  <c r="R200" i="14"/>
  <c r="S200" i="14"/>
  <c r="T200" i="14"/>
  <c r="U200" i="14"/>
  <c r="V200" i="14"/>
  <c r="W200" i="14"/>
  <c r="X200" i="14"/>
  <c r="Y200" i="14"/>
  <c r="M200" i="14"/>
  <c r="G200" i="14"/>
  <c r="H200" i="14"/>
  <c r="I200" i="14"/>
  <c r="F200" i="14"/>
  <c r="N188" i="14" l="1"/>
  <c r="O188" i="14"/>
  <c r="P188" i="14"/>
  <c r="Q188" i="14"/>
  <c r="R188" i="14"/>
  <c r="R191" i="14" s="1"/>
  <c r="S188" i="14"/>
  <c r="T188" i="14"/>
  <c r="U188" i="14"/>
  <c r="V188" i="14"/>
  <c r="W188" i="14"/>
  <c r="X188" i="14"/>
  <c r="Y188" i="14"/>
  <c r="M188" i="14"/>
  <c r="M191" i="14" s="1"/>
  <c r="G188" i="14"/>
  <c r="H188" i="14"/>
  <c r="I188" i="14"/>
  <c r="F188" i="14"/>
  <c r="N187" i="14"/>
  <c r="O187" i="14"/>
  <c r="P187" i="14"/>
  <c r="P191" i="14" s="1"/>
  <c r="Q187" i="14"/>
  <c r="Q191" i="14" s="1"/>
  <c r="R187" i="14"/>
  <c r="S187" i="14"/>
  <c r="T187" i="14"/>
  <c r="T191" i="14" s="1"/>
  <c r="U187" i="14"/>
  <c r="V187" i="14"/>
  <c r="W187" i="14"/>
  <c r="W191" i="14" s="1"/>
  <c r="X187" i="14"/>
  <c r="X191" i="14" s="1"/>
  <c r="Y187" i="14"/>
  <c r="Y191" i="14" s="1"/>
  <c r="M187" i="14"/>
  <c r="G187" i="14"/>
  <c r="H187" i="14"/>
  <c r="I187" i="14"/>
  <c r="F187" i="14"/>
  <c r="S191" i="14"/>
  <c r="U191" i="14"/>
  <c r="E191" i="14"/>
  <c r="N181" i="14"/>
  <c r="O181" i="14"/>
  <c r="P181" i="14"/>
  <c r="Q181" i="14"/>
  <c r="R181" i="14"/>
  <c r="S181" i="14"/>
  <c r="T181" i="14"/>
  <c r="U181" i="14"/>
  <c r="V181" i="14"/>
  <c r="W181" i="14"/>
  <c r="X181" i="14"/>
  <c r="Y181" i="14"/>
  <c r="M181" i="14"/>
  <c r="G181" i="14"/>
  <c r="H181" i="14"/>
  <c r="I181" i="14"/>
  <c r="F181" i="14"/>
  <c r="O191" i="14" l="1"/>
  <c r="F191" i="14"/>
  <c r="V191" i="14"/>
  <c r="N191" i="14"/>
  <c r="I191" i="14"/>
  <c r="H191" i="14"/>
  <c r="G191" i="14"/>
  <c r="N119" i="13"/>
  <c r="O119" i="13"/>
  <c r="P119" i="13"/>
  <c r="Q119" i="13"/>
  <c r="R119" i="13"/>
  <c r="S119" i="13"/>
  <c r="T119" i="13"/>
  <c r="U119" i="13"/>
  <c r="V119" i="13"/>
  <c r="W119" i="13"/>
  <c r="X119" i="13"/>
  <c r="Y119" i="13"/>
  <c r="M119" i="13"/>
  <c r="N170" i="14"/>
  <c r="O170" i="14"/>
  <c r="P170" i="14"/>
  <c r="Q170" i="14"/>
  <c r="R170" i="14"/>
  <c r="S170" i="14"/>
  <c r="T170" i="14"/>
  <c r="U170" i="14"/>
  <c r="V170" i="14"/>
  <c r="W170" i="14"/>
  <c r="X170" i="14"/>
  <c r="Y170" i="14"/>
  <c r="M170" i="14"/>
  <c r="G170" i="14"/>
  <c r="H170" i="14"/>
  <c r="I170" i="14"/>
  <c r="F170" i="14"/>
  <c r="N169" i="14"/>
  <c r="O169" i="14"/>
  <c r="O172" i="14" s="1"/>
  <c r="P169" i="14"/>
  <c r="Q169" i="14"/>
  <c r="R169" i="14"/>
  <c r="R172" i="14" s="1"/>
  <c r="S169" i="14"/>
  <c r="S172" i="14" s="1"/>
  <c r="T169" i="14"/>
  <c r="U169" i="14"/>
  <c r="V169" i="14"/>
  <c r="V172" i="14" s="1"/>
  <c r="W169" i="14"/>
  <c r="W172" i="14" s="1"/>
  <c r="X169" i="14"/>
  <c r="Y169" i="14"/>
  <c r="M169" i="14"/>
  <c r="G169" i="14"/>
  <c r="G172" i="14" s="1"/>
  <c r="H169" i="14"/>
  <c r="I169" i="14"/>
  <c r="F169" i="14"/>
  <c r="F172" i="14" s="1"/>
  <c r="N172" i="14"/>
  <c r="E172" i="14"/>
  <c r="N162" i="14"/>
  <c r="O162" i="14"/>
  <c r="P162" i="14"/>
  <c r="Q162" i="14"/>
  <c r="R162" i="14"/>
  <c r="S162" i="14"/>
  <c r="T162" i="14"/>
  <c r="U162" i="14"/>
  <c r="V162" i="14"/>
  <c r="W162" i="14"/>
  <c r="X162" i="14"/>
  <c r="Y162" i="14"/>
  <c r="M162" i="14"/>
  <c r="G162" i="14"/>
  <c r="H162" i="14"/>
  <c r="I162" i="14"/>
  <c r="F162" i="14"/>
  <c r="N161" i="14"/>
  <c r="O161" i="14"/>
  <c r="P161" i="14"/>
  <c r="Q161" i="14"/>
  <c r="R161" i="14"/>
  <c r="S161" i="14"/>
  <c r="T161" i="14"/>
  <c r="U161" i="14"/>
  <c r="V161" i="14"/>
  <c r="W161" i="14"/>
  <c r="X161" i="14"/>
  <c r="Y161" i="14"/>
  <c r="M161" i="14"/>
  <c r="G161" i="14"/>
  <c r="H161" i="14"/>
  <c r="I161" i="14"/>
  <c r="F161" i="14"/>
  <c r="X172" i="14" l="1"/>
  <c r="U172" i="14"/>
  <c r="T172" i="14"/>
  <c r="H172" i="14"/>
  <c r="M172" i="14"/>
  <c r="Y172" i="14"/>
  <c r="Q172" i="14"/>
  <c r="P172" i="14"/>
  <c r="I172" i="14"/>
  <c r="N151" i="14" l="1"/>
  <c r="O151" i="14"/>
  <c r="P151" i="14"/>
  <c r="Q151" i="14"/>
  <c r="R151" i="14"/>
  <c r="S151" i="14"/>
  <c r="T151" i="14"/>
  <c r="U151" i="14"/>
  <c r="U153" i="14" s="1"/>
  <c r="V151" i="14"/>
  <c r="W151" i="14"/>
  <c r="X151" i="14"/>
  <c r="Y151" i="14"/>
  <c r="M151" i="14"/>
  <c r="G151" i="14"/>
  <c r="H151" i="14"/>
  <c r="I151" i="14"/>
  <c r="F151" i="14"/>
  <c r="N150" i="14"/>
  <c r="O150" i="14"/>
  <c r="P150" i="14"/>
  <c r="Q150" i="14"/>
  <c r="R150" i="14"/>
  <c r="R153" i="14" s="1"/>
  <c r="S150" i="14"/>
  <c r="T150" i="14"/>
  <c r="U150" i="14"/>
  <c r="V150" i="14"/>
  <c r="W150" i="14"/>
  <c r="W153" i="14" s="1"/>
  <c r="X150" i="14"/>
  <c r="X153" i="14" s="1"/>
  <c r="Y150" i="14"/>
  <c r="M150" i="14"/>
  <c r="G150" i="14"/>
  <c r="H150" i="14"/>
  <c r="I150" i="14"/>
  <c r="F150" i="14"/>
  <c r="N153" i="14"/>
  <c r="O153" i="14"/>
  <c r="V153" i="14"/>
  <c r="E153" i="14"/>
  <c r="N143" i="14"/>
  <c r="O143" i="14"/>
  <c r="P143" i="14"/>
  <c r="Q143" i="14"/>
  <c r="R143" i="14"/>
  <c r="S143" i="14"/>
  <c r="T143" i="14"/>
  <c r="U143" i="14"/>
  <c r="V143" i="14"/>
  <c r="W143" i="14"/>
  <c r="X143" i="14"/>
  <c r="Y143" i="14"/>
  <c r="M143" i="14"/>
  <c r="G143" i="14"/>
  <c r="H143" i="14"/>
  <c r="I143" i="14"/>
  <c r="F143" i="14"/>
  <c r="T153" i="14" l="1"/>
  <c r="G153" i="14"/>
  <c r="S153" i="14"/>
  <c r="Y153" i="14"/>
  <c r="Q153" i="14"/>
  <c r="P153" i="14"/>
  <c r="F153" i="14"/>
  <c r="H153" i="14"/>
  <c r="M153" i="14"/>
  <c r="I153" i="14"/>
  <c r="N130" i="14" l="1"/>
  <c r="O130" i="14"/>
  <c r="P130" i="14"/>
  <c r="Q130" i="14"/>
  <c r="R130" i="14"/>
  <c r="S130" i="14"/>
  <c r="T130" i="14"/>
  <c r="U130" i="14"/>
  <c r="U133" i="14" s="1"/>
  <c r="V130" i="14"/>
  <c r="W130" i="14"/>
  <c r="X130" i="14"/>
  <c r="Y130" i="14"/>
  <c r="M130" i="14"/>
  <c r="G130" i="14"/>
  <c r="H130" i="14"/>
  <c r="I130" i="14"/>
  <c r="F130" i="14"/>
  <c r="N129" i="14"/>
  <c r="O129" i="14"/>
  <c r="P129" i="14"/>
  <c r="Q129" i="14"/>
  <c r="R129" i="14"/>
  <c r="R133" i="14" s="1"/>
  <c r="S129" i="14"/>
  <c r="S133" i="14" s="1"/>
  <c r="T129" i="14"/>
  <c r="U129" i="14"/>
  <c r="V129" i="14"/>
  <c r="W129" i="14"/>
  <c r="W133" i="14" s="1"/>
  <c r="X129" i="14"/>
  <c r="X133" i="14" s="1"/>
  <c r="Y129" i="14"/>
  <c r="M129" i="14"/>
  <c r="G129" i="14"/>
  <c r="H129" i="14"/>
  <c r="I129" i="14"/>
  <c r="F129" i="14"/>
  <c r="N133" i="14"/>
  <c r="O133" i="14"/>
  <c r="V133" i="14"/>
  <c r="E133" i="14"/>
  <c r="H133" i="14" l="1"/>
  <c r="M133" i="14"/>
  <c r="P133" i="14"/>
  <c r="F133" i="14"/>
  <c r="G133" i="14"/>
  <c r="T133" i="14"/>
  <c r="Y133" i="14"/>
  <c r="Q133" i="14"/>
  <c r="I133" i="14"/>
  <c r="N110" i="14" l="1"/>
  <c r="O110" i="14"/>
  <c r="P110" i="14"/>
  <c r="Q110" i="14"/>
  <c r="R110" i="14"/>
  <c r="S110" i="14"/>
  <c r="T110" i="14"/>
  <c r="U110" i="14"/>
  <c r="U113" i="14" s="1"/>
  <c r="V110" i="14"/>
  <c r="W110" i="14"/>
  <c r="X110" i="14"/>
  <c r="Y110" i="14"/>
  <c r="M110" i="14"/>
  <c r="G110" i="14"/>
  <c r="H110" i="14"/>
  <c r="I110" i="14"/>
  <c r="F110" i="14"/>
  <c r="N109" i="14"/>
  <c r="O109" i="14"/>
  <c r="P109" i="14"/>
  <c r="Q109" i="14"/>
  <c r="Q113" i="14" s="1"/>
  <c r="R109" i="14"/>
  <c r="R113" i="14" s="1"/>
  <c r="S109" i="14"/>
  <c r="T109" i="14"/>
  <c r="U109" i="14"/>
  <c r="V109" i="14"/>
  <c r="W109" i="14"/>
  <c r="X109" i="14"/>
  <c r="Y109" i="14"/>
  <c r="Y113" i="14" s="1"/>
  <c r="M109" i="14"/>
  <c r="G109" i="14"/>
  <c r="H109" i="14"/>
  <c r="H113" i="14" s="1"/>
  <c r="I109" i="14"/>
  <c r="F109" i="14"/>
  <c r="N113" i="14"/>
  <c r="V113" i="14"/>
  <c r="W113" i="14"/>
  <c r="E113" i="14"/>
  <c r="S113" i="14" l="1"/>
  <c r="T113" i="14"/>
  <c r="X113" i="14"/>
  <c r="P113" i="14"/>
  <c r="O113" i="14"/>
  <c r="G113" i="14"/>
  <c r="M113" i="14"/>
  <c r="I113" i="14"/>
  <c r="F113" i="14"/>
  <c r="N92" i="14" l="1"/>
  <c r="O92" i="14"/>
  <c r="P92" i="14"/>
  <c r="Q92" i="14"/>
  <c r="R92" i="14"/>
  <c r="S92" i="14"/>
  <c r="T92" i="14"/>
  <c r="U92" i="14"/>
  <c r="V92" i="14"/>
  <c r="W92" i="14"/>
  <c r="X92" i="14"/>
  <c r="Y92" i="14"/>
  <c r="M92" i="14"/>
  <c r="G92" i="14"/>
  <c r="H92" i="14"/>
  <c r="I92" i="14"/>
  <c r="F92" i="14"/>
  <c r="N91" i="14"/>
  <c r="O91" i="14"/>
  <c r="P91" i="14"/>
  <c r="Q91" i="14"/>
  <c r="R91" i="14"/>
  <c r="R94" i="14" s="1"/>
  <c r="S91" i="14"/>
  <c r="T91" i="14"/>
  <c r="U91" i="14"/>
  <c r="V91" i="14"/>
  <c r="W91" i="14"/>
  <c r="W94" i="14" s="1"/>
  <c r="X91" i="14"/>
  <c r="X94" i="14" s="1"/>
  <c r="Y91" i="14"/>
  <c r="M91" i="14"/>
  <c r="M94" i="14" s="1"/>
  <c r="G91" i="14"/>
  <c r="H91" i="14"/>
  <c r="I91" i="14"/>
  <c r="F91" i="14"/>
  <c r="O94" i="14"/>
  <c r="V94" i="14"/>
  <c r="F94" i="14"/>
  <c r="E94" i="14"/>
  <c r="N84" i="14"/>
  <c r="O84" i="14"/>
  <c r="P84" i="14"/>
  <c r="Q84" i="14"/>
  <c r="R84" i="14"/>
  <c r="S84" i="14"/>
  <c r="T84" i="14"/>
  <c r="U84" i="14"/>
  <c r="V84" i="14"/>
  <c r="W84" i="14"/>
  <c r="X84" i="14"/>
  <c r="Y84" i="14"/>
  <c r="M84" i="14"/>
  <c r="G84" i="14"/>
  <c r="H84" i="14"/>
  <c r="I84" i="14"/>
  <c r="F84" i="14"/>
  <c r="N83" i="14"/>
  <c r="O83" i="14"/>
  <c r="P83" i="14"/>
  <c r="Q83" i="14"/>
  <c r="R83" i="14"/>
  <c r="S83" i="14"/>
  <c r="T83" i="14"/>
  <c r="U83" i="14"/>
  <c r="V83" i="14"/>
  <c r="W83" i="14"/>
  <c r="X83" i="14"/>
  <c r="Y83" i="14"/>
  <c r="M83" i="14"/>
  <c r="G83" i="14"/>
  <c r="H83" i="14"/>
  <c r="I83" i="14"/>
  <c r="F83" i="14"/>
  <c r="Y94" i="14" l="1"/>
  <c r="U94" i="14"/>
  <c r="N94" i="14"/>
  <c r="S94" i="14"/>
  <c r="G94" i="14"/>
  <c r="H94" i="14"/>
  <c r="Q94" i="14"/>
  <c r="P94" i="14"/>
  <c r="I94" i="14"/>
  <c r="T94" i="14"/>
  <c r="N71" i="14" l="1"/>
  <c r="O71" i="14"/>
  <c r="P71" i="14"/>
  <c r="Q71" i="14"/>
  <c r="Q73" i="14" s="1"/>
  <c r="R71" i="14"/>
  <c r="S71" i="14"/>
  <c r="T71" i="14"/>
  <c r="U71" i="14"/>
  <c r="U73" i="14" s="1"/>
  <c r="V71" i="14"/>
  <c r="W71" i="14"/>
  <c r="X71" i="14"/>
  <c r="Y71" i="14"/>
  <c r="M71" i="14"/>
  <c r="G71" i="14"/>
  <c r="H71" i="14"/>
  <c r="I71" i="14"/>
  <c r="F71" i="14"/>
  <c r="N70" i="14"/>
  <c r="O70" i="14"/>
  <c r="P70" i="14"/>
  <c r="P73" i="14" s="1"/>
  <c r="Q70" i="14"/>
  <c r="R70" i="14"/>
  <c r="S70" i="14"/>
  <c r="T70" i="14"/>
  <c r="U70" i="14"/>
  <c r="V70" i="14"/>
  <c r="W70" i="14"/>
  <c r="W73" i="14" s="1"/>
  <c r="X70" i="14"/>
  <c r="X73" i="14" s="1"/>
  <c r="Y70" i="14"/>
  <c r="M70" i="14"/>
  <c r="M73" i="14" s="1"/>
  <c r="G70" i="14"/>
  <c r="H70" i="14"/>
  <c r="I70" i="14"/>
  <c r="F70" i="14"/>
  <c r="N73" i="14"/>
  <c r="O73" i="14"/>
  <c r="V73" i="14"/>
  <c r="E73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M62" i="14"/>
  <c r="G62" i="14"/>
  <c r="H62" i="14"/>
  <c r="I62" i="14"/>
  <c r="F62" i="14"/>
  <c r="S73" i="14" l="1"/>
  <c r="G73" i="14"/>
  <c r="I73" i="14"/>
  <c r="R73" i="14"/>
  <c r="Y73" i="14"/>
  <c r="H73" i="14"/>
  <c r="T73" i="14"/>
  <c r="F73" i="14"/>
  <c r="N51" i="14" l="1"/>
  <c r="O51" i="14"/>
  <c r="P51" i="14"/>
  <c r="Q51" i="14"/>
  <c r="R51" i="14"/>
  <c r="S51" i="14"/>
  <c r="T51" i="14"/>
  <c r="U51" i="14"/>
  <c r="V51" i="14"/>
  <c r="W51" i="14"/>
  <c r="X51" i="14"/>
  <c r="Y51" i="14"/>
  <c r="M51" i="14"/>
  <c r="G51" i="14"/>
  <c r="H51" i="14"/>
  <c r="I51" i="14"/>
  <c r="F51" i="14"/>
  <c r="N50" i="14"/>
  <c r="O50" i="14"/>
  <c r="O53" i="14" s="1"/>
  <c r="P50" i="14"/>
  <c r="Q50" i="14"/>
  <c r="Q53" i="14" s="1"/>
  <c r="R50" i="14"/>
  <c r="R53" i="14" s="1"/>
  <c r="S50" i="14"/>
  <c r="T50" i="14"/>
  <c r="U50" i="14"/>
  <c r="V50" i="14"/>
  <c r="W50" i="14"/>
  <c r="W53" i="14" s="1"/>
  <c r="X50" i="14"/>
  <c r="Y50" i="14"/>
  <c r="Y53" i="14" s="1"/>
  <c r="M50" i="14"/>
  <c r="G50" i="14"/>
  <c r="G53" i="14" s="1"/>
  <c r="H50" i="14"/>
  <c r="I50" i="14"/>
  <c r="F50" i="14"/>
  <c r="E53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M42" i="14"/>
  <c r="G42" i="14"/>
  <c r="H42" i="14"/>
  <c r="I42" i="14"/>
  <c r="F42" i="14"/>
  <c r="V53" i="14" l="1"/>
  <c r="N53" i="14"/>
  <c r="U53" i="14"/>
  <c r="S53" i="14"/>
  <c r="T53" i="14"/>
  <c r="H53" i="14"/>
  <c r="P53" i="14"/>
  <c r="F53" i="14"/>
  <c r="I53" i="14"/>
  <c r="X53" i="14"/>
  <c r="M53" i="14"/>
  <c r="F30" i="14" l="1"/>
  <c r="G30" i="14"/>
  <c r="H30" i="14"/>
  <c r="E34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N34" i="14" s="1"/>
  <c r="M30" i="14"/>
  <c r="I30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M24" i="14"/>
  <c r="G24" i="14"/>
  <c r="H24" i="14"/>
  <c r="I24" i="14"/>
  <c r="F24" i="14"/>
  <c r="N23" i="14"/>
  <c r="N31" i="14" s="1"/>
  <c r="O23" i="14"/>
  <c r="O31" i="14" s="1"/>
  <c r="P23" i="14"/>
  <c r="P31" i="14" s="1"/>
  <c r="Q23" i="14"/>
  <c r="Q31" i="14" s="1"/>
  <c r="R23" i="14"/>
  <c r="R31" i="14" s="1"/>
  <c r="S23" i="14"/>
  <c r="S31" i="14" s="1"/>
  <c r="T23" i="14"/>
  <c r="T31" i="14" s="1"/>
  <c r="U23" i="14"/>
  <c r="U31" i="14" s="1"/>
  <c r="V23" i="14"/>
  <c r="V31" i="14" s="1"/>
  <c r="W23" i="14"/>
  <c r="W31" i="14" s="1"/>
  <c r="X23" i="14"/>
  <c r="X31" i="14" s="1"/>
  <c r="Y23" i="14"/>
  <c r="Y31" i="14" s="1"/>
  <c r="M23" i="14"/>
  <c r="M31" i="14" s="1"/>
  <c r="G23" i="14"/>
  <c r="G31" i="14" s="1"/>
  <c r="H23" i="14"/>
  <c r="H31" i="14" s="1"/>
  <c r="I23" i="14"/>
  <c r="I31" i="14" s="1"/>
  <c r="F23" i="14"/>
  <c r="F31" i="14" s="1"/>
  <c r="V34" i="14" l="1"/>
  <c r="O34" i="14"/>
  <c r="P34" i="14"/>
  <c r="X34" i="14"/>
  <c r="Q34" i="14"/>
  <c r="Y34" i="14"/>
  <c r="R34" i="14"/>
  <c r="I34" i="14"/>
  <c r="T34" i="14"/>
  <c r="M34" i="14"/>
  <c r="U34" i="14"/>
  <c r="W34" i="14"/>
  <c r="S34" i="14"/>
  <c r="H34" i="14"/>
  <c r="G34" i="14"/>
  <c r="F34" i="14"/>
  <c r="N135" i="2"/>
  <c r="O135" i="2"/>
  <c r="P135" i="2"/>
  <c r="Q135" i="2"/>
  <c r="R135" i="2"/>
  <c r="S135" i="2"/>
  <c r="T135" i="2"/>
  <c r="U135" i="2"/>
  <c r="V135" i="2"/>
  <c r="W135" i="2"/>
  <c r="X135" i="2"/>
  <c r="Y135" i="2"/>
  <c r="M135" i="2"/>
  <c r="G135" i="2"/>
  <c r="H135" i="2"/>
  <c r="I135" i="2"/>
  <c r="F135" i="2"/>
  <c r="N122" i="2" l="1"/>
  <c r="O122" i="2"/>
  <c r="P122" i="2"/>
  <c r="Q122" i="2"/>
  <c r="R122" i="2"/>
  <c r="S122" i="2"/>
  <c r="T122" i="2"/>
  <c r="U122" i="2"/>
  <c r="V122" i="2"/>
  <c r="W122" i="2"/>
  <c r="X122" i="2"/>
  <c r="Y122" i="2"/>
  <c r="M122" i="2"/>
  <c r="G122" i="2"/>
  <c r="H122" i="2"/>
  <c r="I122" i="2"/>
  <c r="F122" i="2"/>
  <c r="N110" i="2" l="1"/>
  <c r="O110" i="2"/>
  <c r="P110" i="2"/>
  <c r="Q110" i="2"/>
  <c r="R110" i="2"/>
  <c r="S110" i="2"/>
  <c r="T110" i="2"/>
  <c r="U110" i="2"/>
  <c r="V110" i="2"/>
  <c r="W110" i="2"/>
  <c r="X110" i="2"/>
  <c r="Y110" i="2"/>
  <c r="M110" i="2"/>
  <c r="G110" i="2"/>
  <c r="H110" i="2"/>
  <c r="I110" i="2"/>
  <c r="F110" i="2"/>
  <c r="N99" i="2" l="1"/>
  <c r="O99" i="2"/>
  <c r="P99" i="2"/>
  <c r="Q99" i="2"/>
  <c r="R99" i="2"/>
  <c r="S99" i="2"/>
  <c r="T99" i="2"/>
  <c r="U99" i="2"/>
  <c r="V99" i="2"/>
  <c r="W99" i="2"/>
  <c r="X99" i="2"/>
  <c r="Y99" i="2"/>
  <c r="M99" i="2"/>
  <c r="G99" i="2"/>
  <c r="H99" i="2"/>
  <c r="I99" i="2"/>
  <c r="F99" i="2"/>
  <c r="N74" i="2" l="1"/>
  <c r="O74" i="2"/>
  <c r="P74" i="2"/>
  <c r="Q74" i="2"/>
  <c r="R74" i="2"/>
  <c r="S74" i="2"/>
  <c r="T74" i="2"/>
  <c r="U74" i="2"/>
  <c r="V74" i="2"/>
  <c r="W74" i="2"/>
  <c r="X74" i="2"/>
  <c r="Y74" i="2"/>
  <c r="M74" i="2"/>
  <c r="G74" i="2"/>
  <c r="H74" i="2"/>
  <c r="I74" i="2"/>
  <c r="F74" i="2"/>
  <c r="N73" i="2"/>
  <c r="O73" i="2"/>
  <c r="P73" i="2"/>
  <c r="Q73" i="2"/>
  <c r="R73" i="2"/>
  <c r="S73" i="2"/>
  <c r="T73" i="2"/>
  <c r="U73" i="2"/>
  <c r="V73" i="2"/>
  <c r="W73" i="2"/>
  <c r="X73" i="2"/>
  <c r="Y73" i="2"/>
  <c r="M73" i="2"/>
  <c r="G73" i="2"/>
  <c r="H73" i="2"/>
  <c r="I73" i="2"/>
  <c r="F73" i="2"/>
  <c r="N63" i="2" l="1"/>
  <c r="O63" i="2"/>
  <c r="P63" i="2"/>
  <c r="Q63" i="2"/>
  <c r="R63" i="2"/>
  <c r="S63" i="2"/>
  <c r="T63" i="2"/>
  <c r="U63" i="2"/>
  <c r="V63" i="2"/>
  <c r="W63" i="2"/>
  <c r="X63" i="2"/>
  <c r="Y63" i="2"/>
  <c r="M63" i="2"/>
  <c r="G63" i="2"/>
  <c r="H63" i="2"/>
  <c r="I63" i="2"/>
  <c r="F63" i="2"/>
  <c r="N62" i="2"/>
  <c r="O62" i="2"/>
  <c r="P62" i="2"/>
  <c r="Q62" i="2"/>
  <c r="R62" i="2"/>
  <c r="S62" i="2"/>
  <c r="T62" i="2"/>
  <c r="U62" i="2"/>
  <c r="V62" i="2"/>
  <c r="W62" i="2"/>
  <c r="X62" i="2"/>
  <c r="Y62" i="2"/>
  <c r="M62" i="2"/>
  <c r="G62" i="2"/>
  <c r="H62" i="2"/>
  <c r="I62" i="2"/>
  <c r="F62" i="2"/>
  <c r="N48" i="2" l="1"/>
  <c r="O48" i="2"/>
  <c r="P48" i="2"/>
  <c r="Q48" i="2"/>
  <c r="R48" i="2"/>
  <c r="S48" i="2"/>
  <c r="T48" i="2"/>
  <c r="U48" i="2"/>
  <c r="V48" i="2"/>
  <c r="W48" i="2"/>
  <c r="X48" i="2"/>
  <c r="Y48" i="2"/>
  <c r="M48" i="2"/>
  <c r="G48" i="2"/>
  <c r="H48" i="2"/>
  <c r="I48" i="2"/>
  <c r="F48" i="2"/>
  <c r="N36" i="2" l="1"/>
  <c r="O36" i="2"/>
  <c r="P36" i="2"/>
  <c r="Q36" i="2"/>
  <c r="R36" i="2"/>
  <c r="S36" i="2"/>
  <c r="T36" i="2"/>
  <c r="U36" i="2"/>
  <c r="V36" i="2"/>
  <c r="W36" i="2"/>
  <c r="X36" i="2"/>
  <c r="Y36" i="2"/>
  <c r="M36" i="2"/>
  <c r="G36" i="2"/>
  <c r="H36" i="2"/>
  <c r="I36" i="2"/>
  <c r="F36" i="2"/>
  <c r="N35" i="2"/>
  <c r="O35" i="2"/>
  <c r="P35" i="2"/>
  <c r="Q35" i="2"/>
  <c r="R35" i="2"/>
  <c r="S35" i="2"/>
  <c r="T35" i="2"/>
  <c r="U35" i="2"/>
  <c r="V35" i="2"/>
  <c r="W35" i="2"/>
  <c r="X35" i="2"/>
  <c r="Y35" i="2"/>
  <c r="M35" i="2"/>
  <c r="G35" i="2"/>
  <c r="H35" i="2"/>
  <c r="I35" i="2"/>
  <c r="F35" i="2"/>
  <c r="N23" i="2" l="1"/>
  <c r="O23" i="2"/>
  <c r="P23" i="2"/>
  <c r="Q23" i="2"/>
  <c r="R23" i="2"/>
  <c r="S23" i="2"/>
  <c r="T23" i="2"/>
  <c r="U23" i="2"/>
  <c r="V23" i="2"/>
  <c r="W23" i="2"/>
  <c r="X23" i="2"/>
  <c r="Y23" i="2"/>
  <c r="M23" i="2"/>
  <c r="G23" i="2"/>
  <c r="H23" i="2"/>
  <c r="I23" i="2"/>
  <c r="F23" i="2"/>
  <c r="N143" i="13" l="1"/>
  <c r="O143" i="13"/>
  <c r="P143" i="13"/>
  <c r="Q143" i="13"/>
  <c r="R143" i="13"/>
  <c r="S143" i="13"/>
  <c r="T143" i="13"/>
  <c r="U143" i="13"/>
  <c r="V143" i="13"/>
  <c r="W143" i="13"/>
  <c r="X143" i="13"/>
  <c r="Y143" i="13"/>
  <c r="M143" i="13"/>
  <c r="G143" i="13"/>
  <c r="H143" i="13"/>
  <c r="I143" i="13"/>
  <c r="F143" i="13"/>
  <c r="N131" i="13" l="1"/>
  <c r="O131" i="13"/>
  <c r="P131" i="13"/>
  <c r="Q131" i="13"/>
  <c r="R131" i="13"/>
  <c r="S131" i="13"/>
  <c r="T131" i="13"/>
  <c r="U131" i="13"/>
  <c r="V131" i="13"/>
  <c r="W131" i="13"/>
  <c r="X131" i="13"/>
  <c r="Y131" i="13"/>
  <c r="M131" i="13"/>
  <c r="G131" i="13"/>
  <c r="H131" i="13"/>
  <c r="I131" i="13"/>
  <c r="F131" i="13"/>
  <c r="N130" i="13"/>
  <c r="O130" i="13"/>
  <c r="P130" i="13"/>
  <c r="Q130" i="13"/>
  <c r="R130" i="13"/>
  <c r="S130" i="13"/>
  <c r="T130" i="13"/>
  <c r="U130" i="13"/>
  <c r="V130" i="13"/>
  <c r="W130" i="13"/>
  <c r="X130" i="13"/>
  <c r="Y130" i="13"/>
  <c r="M130" i="13"/>
  <c r="G130" i="13"/>
  <c r="H130" i="13"/>
  <c r="I130" i="13"/>
  <c r="F130" i="13"/>
  <c r="N118" i="13" l="1"/>
  <c r="O118" i="13"/>
  <c r="P118" i="13"/>
  <c r="Q118" i="13"/>
  <c r="R118" i="13"/>
  <c r="S118" i="13"/>
  <c r="T118" i="13"/>
  <c r="U118" i="13"/>
  <c r="V118" i="13"/>
  <c r="W118" i="13"/>
  <c r="X118" i="13"/>
  <c r="Y118" i="13"/>
  <c r="M118" i="13"/>
  <c r="G119" i="13"/>
  <c r="H119" i="13"/>
  <c r="I119" i="13"/>
  <c r="F119" i="13"/>
  <c r="G118" i="13"/>
  <c r="H118" i="13"/>
  <c r="I118" i="13"/>
  <c r="F118" i="13"/>
  <c r="N106" i="13" l="1"/>
  <c r="O106" i="13"/>
  <c r="P106" i="13"/>
  <c r="Q106" i="13"/>
  <c r="R106" i="13"/>
  <c r="S106" i="13"/>
  <c r="T106" i="13"/>
  <c r="U106" i="13"/>
  <c r="V106" i="13"/>
  <c r="W106" i="13"/>
  <c r="X106" i="13"/>
  <c r="Y106" i="13"/>
  <c r="M106" i="13"/>
  <c r="G106" i="13"/>
  <c r="H106" i="13"/>
  <c r="I106" i="13"/>
  <c r="F106" i="13"/>
  <c r="G92" i="13" l="1"/>
  <c r="H92" i="13"/>
  <c r="I92" i="13"/>
  <c r="F92" i="13"/>
  <c r="N78" i="13" l="1"/>
  <c r="O78" i="13"/>
  <c r="P78" i="13"/>
  <c r="Q78" i="13"/>
  <c r="R78" i="13"/>
  <c r="S78" i="13"/>
  <c r="T78" i="13"/>
  <c r="U78" i="13"/>
  <c r="V78" i="13"/>
  <c r="W78" i="13"/>
  <c r="X78" i="13"/>
  <c r="Y78" i="13"/>
  <c r="M78" i="13"/>
  <c r="G78" i="13"/>
  <c r="H78" i="13"/>
  <c r="I78" i="13"/>
  <c r="F78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M77" i="13"/>
  <c r="G77" i="13"/>
  <c r="H77" i="13"/>
  <c r="I77" i="13"/>
  <c r="F77" i="13"/>
  <c r="N65" i="13" l="1"/>
  <c r="O65" i="13"/>
  <c r="P65" i="13"/>
  <c r="Q65" i="13"/>
  <c r="R65" i="13"/>
  <c r="S65" i="13"/>
  <c r="T65" i="13"/>
  <c r="U65" i="13"/>
  <c r="V65" i="13"/>
  <c r="W65" i="13"/>
  <c r="X65" i="13"/>
  <c r="Y65" i="13"/>
  <c r="M65" i="13"/>
  <c r="G65" i="13"/>
  <c r="H65" i="13"/>
  <c r="I65" i="13"/>
  <c r="F65" i="13"/>
  <c r="N39" i="13" l="1"/>
  <c r="O39" i="13"/>
  <c r="P39" i="13"/>
  <c r="Q39" i="13"/>
  <c r="R39" i="13"/>
  <c r="S39" i="13"/>
  <c r="T39" i="13"/>
  <c r="U39" i="13"/>
  <c r="V39" i="13"/>
  <c r="W39" i="13"/>
  <c r="X39" i="13"/>
  <c r="Y39" i="13"/>
  <c r="M39" i="13"/>
  <c r="G39" i="13"/>
  <c r="H39" i="13"/>
  <c r="I39" i="13"/>
  <c r="F39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M38" i="13"/>
  <c r="G38" i="13"/>
  <c r="H38" i="13"/>
  <c r="I38" i="13"/>
  <c r="F38" i="13"/>
  <c r="N25" i="13" l="1"/>
  <c r="O25" i="13"/>
  <c r="P25" i="13"/>
  <c r="Q25" i="13"/>
  <c r="R25" i="13"/>
  <c r="S25" i="13"/>
  <c r="T25" i="13"/>
  <c r="U25" i="13"/>
  <c r="V25" i="13"/>
  <c r="W25" i="13"/>
  <c r="X25" i="13"/>
  <c r="Y25" i="13"/>
  <c r="M25" i="13"/>
  <c r="G25" i="13"/>
  <c r="H25" i="13"/>
  <c r="I25" i="13"/>
  <c r="F25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M24" i="13"/>
  <c r="G24" i="13"/>
  <c r="H24" i="13"/>
  <c r="I24" i="13"/>
  <c r="F24" i="13"/>
  <c r="N122" i="14" l="1"/>
  <c r="O122" i="14"/>
  <c r="P122" i="14"/>
  <c r="Q122" i="14"/>
  <c r="R122" i="14"/>
  <c r="S122" i="14"/>
  <c r="T122" i="14"/>
  <c r="U122" i="14"/>
  <c r="V122" i="14"/>
  <c r="W122" i="14"/>
  <c r="X122" i="14"/>
  <c r="Y122" i="14"/>
  <c r="M122" i="14"/>
  <c r="N121" i="14"/>
  <c r="O121" i="14"/>
  <c r="P121" i="14"/>
  <c r="Q121" i="14"/>
  <c r="R121" i="14"/>
  <c r="S121" i="14"/>
  <c r="T121" i="14"/>
  <c r="U121" i="14"/>
  <c r="V121" i="14"/>
  <c r="W121" i="14"/>
  <c r="X121" i="14"/>
  <c r="Y121" i="14"/>
  <c r="M121" i="14"/>
  <c r="G122" i="14"/>
  <c r="H122" i="14"/>
  <c r="I122" i="14"/>
  <c r="F122" i="14"/>
  <c r="G121" i="14"/>
  <c r="H121" i="14"/>
  <c r="I121" i="14"/>
  <c r="F121" i="14"/>
  <c r="N86" i="2"/>
  <c r="O86" i="2"/>
  <c r="P86" i="2"/>
  <c r="Q86" i="2"/>
  <c r="R86" i="2"/>
  <c r="S86" i="2"/>
  <c r="T86" i="2"/>
  <c r="U86" i="2"/>
  <c r="V86" i="2"/>
  <c r="W86" i="2"/>
  <c r="X86" i="2"/>
  <c r="Y86" i="2"/>
  <c r="M86" i="2"/>
  <c r="G86" i="2"/>
  <c r="H86" i="2"/>
  <c r="I86" i="2"/>
  <c r="F86" i="2"/>
  <c r="N92" i="13" l="1"/>
  <c r="O92" i="13"/>
  <c r="P92" i="13"/>
  <c r="Q92" i="13"/>
  <c r="R92" i="13"/>
  <c r="S92" i="13"/>
  <c r="T92" i="13"/>
  <c r="U92" i="13"/>
  <c r="V92" i="13"/>
  <c r="W92" i="13"/>
  <c r="X92" i="13"/>
  <c r="Y92" i="13"/>
  <c r="M92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M91" i="13"/>
  <c r="G91" i="13"/>
  <c r="H91" i="13"/>
  <c r="I91" i="13"/>
  <c r="F91" i="13"/>
  <c r="N144" i="4" l="1"/>
  <c r="O144" i="4"/>
  <c r="P144" i="4"/>
  <c r="Q144" i="4"/>
  <c r="R144" i="4"/>
  <c r="S144" i="4"/>
  <c r="T144" i="4"/>
  <c r="U144" i="4"/>
  <c r="V144" i="4"/>
  <c r="W144" i="4"/>
  <c r="X144" i="4"/>
  <c r="Y144" i="4"/>
  <c r="M144" i="4"/>
  <c r="G144" i="4"/>
  <c r="H144" i="4"/>
  <c r="I144" i="4"/>
  <c r="F144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M143" i="4"/>
  <c r="G143" i="4"/>
  <c r="H143" i="4"/>
  <c r="I143" i="4"/>
  <c r="F143" i="4"/>
  <c r="N129" i="4" l="1"/>
  <c r="O129" i="4"/>
  <c r="P129" i="4"/>
  <c r="Q129" i="4"/>
  <c r="R129" i="4"/>
  <c r="S129" i="4"/>
  <c r="T129" i="4"/>
  <c r="U129" i="4"/>
  <c r="V129" i="4"/>
  <c r="W129" i="4"/>
  <c r="X129" i="4"/>
  <c r="Y129" i="4"/>
  <c r="M129" i="4"/>
  <c r="G129" i="4"/>
  <c r="H129" i="4"/>
  <c r="I129" i="4"/>
  <c r="F129" i="4"/>
  <c r="N117" i="4" l="1"/>
  <c r="O117" i="4"/>
  <c r="P117" i="4"/>
  <c r="Q117" i="4"/>
  <c r="R117" i="4"/>
  <c r="S117" i="4"/>
  <c r="T117" i="4"/>
  <c r="U117" i="4"/>
  <c r="V117" i="4"/>
  <c r="W117" i="4"/>
  <c r="X117" i="4"/>
  <c r="Y117" i="4"/>
  <c r="M117" i="4"/>
  <c r="G117" i="4"/>
  <c r="H117" i="4"/>
  <c r="I117" i="4"/>
  <c r="F117" i="4"/>
  <c r="N104" i="4" l="1"/>
  <c r="O104" i="4"/>
  <c r="P104" i="4"/>
  <c r="Q104" i="4"/>
  <c r="R104" i="4"/>
  <c r="S104" i="4"/>
  <c r="T104" i="4"/>
  <c r="U104" i="4"/>
  <c r="V104" i="4"/>
  <c r="W104" i="4"/>
  <c r="X104" i="4"/>
  <c r="Y104" i="4"/>
  <c r="M104" i="4"/>
  <c r="N91" i="4" l="1"/>
  <c r="O91" i="4"/>
  <c r="P91" i="4"/>
  <c r="Q91" i="4"/>
  <c r="R91" i="4"/>
  <c r="S91" i="4"/>
  <c r="T91" i="4"/>
  <c r="U91" i="4"/>
  <c r="V91" i="4"/>
  <c r="W91" i="4"/>
  <c r="X91" i="4"/>
  <c r="Y91" i="4"/>
  <c r="M91" i="4"/>
  <c r="G91" i="4"/>
  <c r="H91" i="4"/>
  <c r="I91" i="4"/>
  <c r="F91" i="4"/>
  <c r="N90" i="4"/>
  <c r="O90" i="4"/>
  <c r="P90" i="4"/>
  <c r="Q90" i="4"/>
  <c r="R90" i="4"/>
  <c r="S90" i="4"/>
  <c r="T90" i="4"/>
  <c r="U90" i="4"/>
  <c r="V90" i="4"/>
  <c r="W90" i="4"/>
  <c r="X90" i="4"/>
  <c r="Y90" i="4"/>
  <c r="M90" i="4"/>
  <c r="G90" i="4"/>
  <c r="H90" i="4"/>
  <c r="I90" i="4"/>
  <c r="F90" i="4"/>
  <c r="N77" i="4" l="1"/>
  <c r="O77" i="4"/>
  <c r="P77" i="4"/>
  <c r="Q77" i="4"/>
  <c r="R77" i="4"/>
  <c r="S77" i="4"/>
  <c r="T77" i="4"/>
  <c r="U77" i="4"/>
  <c r="V77" i="4"/>
  <c r="W77" i="4"/>
  <c r="X77" i="4"/>
  <c r="Y77" i="4"/>
  <c r="M77" i="4"/>
  <c r="G77" i="4"/>
  <c r="H77" i="4"/>
  <c r="I77" i="4"/>
  <c r="F77" i="4"/>
  <c r="N76" i="4"/>
  <c r="O76" i="4"/>
  <c r="P76" i="4"/>
  <c r="Q76" i="4"/>
  <c r="R76" i="4"/>
  <c r="S76" i="4"/>
  <c r="T76" i="4"/>
  <c r="U76" i="4"/>
  <c r="V76" i="4"/>
  <c r="W76" i="4"/>
  <c r="X76" i="4"/>
  <c r="Y76" i="4"/>
  <c r="M76" i="4"/>
  <c r="G76" i="4"/>
  <c r="H76" i="4"/>
  <c r="I76" i="4"/>
  <c r="F76" i="4"/>
  <c r="E67" i="4" l="1"/>
  <c r="N65" i="4"/>
  <c r="O65" i="4"/>
  <c r="P65" i="4"/>
  <c r="Q65" i="4"/>
  <c r="R65" i="4"/>
  <c r="S65" i="4"/>
  <c r="T65" i="4"/>
  <c r="U65" i="4"/>
  <c r="V65" i="4"/>
  <c r="W65" i="4"/>
  <c r="X65" i="4"/>
  <c r="Y65" i="4"/>
  <c r="M65" i="4"/>
  <c r="N64" i="4"/>
  <c r="O64" i="4"/>
  <c r="P64" i="4"/>
  <c r="Q64" i="4"/>
  <c r="R64" i="4"/>
  <c r="S64" i="4"/>
  <c r="T64" i="4"/>
  <c r="U64" i="4"/>
  <c r="V64" i="4"/>
  <c r="W64" i="4"/>
  <c r="X64" i="4"/>
  <c r="Y64" i="4"/>
  <c r="M64" i="4"/>
  <c r="N51" i="4" l="1"/>
  <c r="O51" i="4"/>
  <c r="P51" i="4"/>
  <c r="Q51" i="4"/>
  <c r="R51" i="4"/>
  <c r="S51" i="4"/>
  <c r="T51" i="4"/>
  <c r="U51" i="4"/>
  <c r="V51" i="4"/>
  <c r="W51" i="4"/>
  <c r="X51" i="4"/>
  <c r="Y51" i="4"/>
  <c r="M51" i="4"/>
  <c r="N38" i="4" l="1"/>
  <c r="O38" i="4"/>
  <c r="P38" i="4"/>
  <c r="Q38" i="4"/>
  <c r="R38" i="4"/>
  <c r="S38" i="4"/>
  <c r="T38" i="4"/>
  <c r="U38" i="4"/>
  <c r="V38" i="4"/>
  <c r="W38" i="4"/>
  <c r="X38" i="4"/>
  <c r="Y38" i="4"/>
  <c r="M38" i="4"/>
  <c r="E28" i="4" l="1"/>
  <c r="N25" i="4"/>
  <c r="O25" i="4"/>
  <c r="P25" i="4"/>
  <c r="Q25" i="4"/>
  <c r="R25" i="4"/>
  <c r="S25" i="4"/>
  <c r="T25" i="4"/>
  <c r="U25" i="4"/>
  <c r="V25" i="4"/>
  <c r="W25" i="4"/>
  <c r="X25" i="4"/>
  <c r="Y25" i="4"/>
  <c r="M25" i="4"/>
  <c r="G25" i="4"/>
  <c r="H25" i="4"/>
  <c r="I25" i="4"/>
  <c r="F25" i="4"/>
  <c r="N24" i="4"/>
  <c r="O24" i="4"/>
  <c r="P24" i="4"/>
  <c r="Q24" i="4"/>
  <c r="R24" i="4"/>
  <c r="S24" i="4"/>
  <c r="T24" i="4"/>
  <c r="U24" i="4"/>
  <c r="U28" i="4" s="1"/>
  <c r="V24" i="4"/>
  <c r="W24" i="4"/>
  <c r="X24" i="4"/>
  <c r="X28" i="4" s="1"/>
  <c r="Y24" i="4"/>
  <c r="M24" i="4"/>
  <c r="G24" i="4"/>
  <c r="H24" i="4"/>
  <c r="I24" i="4"/>
  <c r="I28" i="4" s="1"/>
  <c r="F24" i="4"/>
  <c r="M28" i="4" l="1"/>
  <c r="R28" i="4"/>
  <c r="F28" i="4"/>
  <c r="V28" i="4"/>
  <c r="N28" i="4"/>
  <c r="W28" i="4"/>
  <c r="O28" i="4"/>
  <c r="H28" i="4"/>
  <c r="T28" i="4"/>
  <c r="P28" i="4"/>
  <c r="G28" i="4"/>
  <c r="S28" i="4"/>
  <c r="Y28" i="4"/>
  <c r="Q28" i="4"/>
  <c r="J94" i="4"/>
  <c r="K94" i="4"/>
  <c r="K80" i="4" l="1"/>
  <c r="N103" i="14" l="1"/>
  <c r="O103" i="14"/>
  <c r="P103" i="14"/>
  <c r="Q103" i="14"/>
  <c r="R103" i="14"/>
  <c r="S103" i="14"/>
  <c r="T103" i="14"/>
  <c r="U103" i="14"/>
  <c r="V103" i="14"/>
  <c r="W103" i="14"/>
  <c r="X103" i="14"/>
  <c r="Y103" i="14"/>
  <c r="M103" i="14"/>
  <c r="G103" i="14"/>
  <c r="H103" i="14"/>
  <c r="I103" i="14"/>
  <c r="F103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M102" i="14"/>
  <c r="G102" i="14"/>
  <c r="H102" i="14"/>
  <c r="I102" i="14"/>
  <c r="F102" i="14"/>
  <c r="K94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M63" i="14"/>
  <c r="G63" i="14"/>
  <c r="H63" i="14"/>
  <c r="I63" i="14"/>
  <c r="F63" i="14"/>
  <c r="N43" i="14" l="1"/>
  <c r="O43" i="14"/>
  <c r="P43" i="14"/>
  <c r="Q43" i="14"/>
  <c r="R43" i="14"/>
  <c r="S43" i="14"/>
  <c r="T43" i="14"/>
  <c r="U43" i="14"/>
  <c r="V43" i="14"/>
  <c r="W43" i="14"/>
  <c r="X43" i="14"/>
  <c r="Y43" i="14"/>
  <c r="M43" i="14"/>
  <c r="G43" i="14"/>
  <c r="H43" i="14"/>
  <c r="I43" i="14"/>
  <c r="F43" i="14"/>
  <c r="N124" i="2" l="1"/>
  <c r="O124" i="2"/>
  <c r="P124" i="2"/>
  <c r="Q124" i="2"/>
  <c r="R124" i="2"/>
  <c r="S124" i="2"/>
  <c r="T124" i="2"/>
  <c r="U124" i="2"/>
  <c r="V124" i="2"/>
  <c r="W124" i="2"/>
  <c r="X124" i="2"/>
  <c r="Y124" i="2"/>
  <c r="M124" i="2"/>
  <c r="G124" i="2"/>
  <c r="H124" i="2"/>
  <c r="I124" i="2"/>
  <c r="F124" i="2"/>
  <c r="N85" i="2"/>
  <c r="O85" i="2"/>
  <c r="P85" i="2"/>
  <c r="Q85" i="2"/>
  <c r="R85" i="2"/>
  <c r="S85" i="2"/>
  <c r="T85" i="2"/>
  <c r="U85" i="2"/>
  <c r="V85" i="2"/>
  <c r="W85" i="2"/>
  <c r="X85" i="2"/>
  <c r="Y85" i="2"/>
  <c r="M85" i="2"/>
  <c r="G85" i="2"/>
  <c r="H85" i="2"/>
  <c r="I85" i="2"/>
  <c r="F85" i="2"/>
  <c r="N49" i="2"/>
  <c r="O49" i="2"/>
  <c r="P49" i="2"/>
  <c r="Q49" i="2"/>
  <c r="R49" i="2"/>
  <c r="S49" i="2"/>
  <c r="T49" i="2"/>
  <c r="U49" i="2"/>
  <c r="V49" i="2"/>
  <c r="W49" i="2"/>
  <c r="X49" i="2"/>
  <c r="Y49" i="2"/>
  <c r="M49" i="2"/>
  <c r="G49" i="2"/>
  <c r="H49" i="2"/>
  <c r="I49" i="2"/>
  <c r="F49" i="2"/>
  <c r="O24" i="2" l="1"/>
  <c r="P24" i="2"/>
  <c r="Q24" i="2"/>
  <c r="R24" i="2"/>
  <c r="S24" i="2"/>
  <c r="T24" i="2"/>
  <c r="U24" i="2"/>
  <c r="V24" i="2"/>
  <c r="W24" i="2"/>
  <c r="X24" i="2"/>
  <c r="Y24" i="2"/>
  <c r="G24" i="2"/>
  <c r="H24" i="2"/>
  <c r="I24" i="2"/>
  <c r="N24" i="2" l="1"/>
  <c r="M24" i="2"/>
  <c r="F24" i="2" l="1"/>
  <c r="N105" i="13" l="1"/>
  <c r="O105" i="13"/>
  <c r="P105" i="13"/>
  <c r="Q105" i="13"/>
  <c r="R105" i="13"/>
  <c r="S105" i="13"/>
  <c r="T105" i="13"/>
  <c r="U105" i="13"/>
  <c r="V105" i="13"/>
  <c r="W105" i="13"/>
  <c r="X105" i="13"/>
  <c r="Y105" i="13"/>
  <c r="M105" i="13"/>
  <c r="G105" i="13"/>
  <c r="H105" i="13"/>
  <c r="I105" i="13"/>
  <c r="F105" i="13"/>
  <c r="E95" i="13"/>
  <c r="N66" i="13" l="1"/>
  <c r="O66" i="13"/>
  <c r="P66" i="13"/>
  <c r="Q66" i="13"/>
  <c r="R66" i="13"/>
  <c r="S66" i="13"/>
  <c r="T66" i="13"/>
  <c r="U66" i="13"/>
  <c r="V66" i="13"/>
  <c r="W66" i="13"/>
  <c r="X66" i="13"/>
  <c r="Y66" i="13"/>
  <c r="M66" i="13"/>
  <c r="G66" i="13"/>
  <c r="H66" i="13"/>
  <c r="I66" i="13"/>
  <c r="F66" i="13"/>
  <c r="N52" i="13" l="1"/>
  <c r="O52" i="13"/>
  <c r="P52" i="13"/>
  <c r="Q52" i="13"/>
  <c r="R52" i="13"/>
  <c r="S52" i="13"/>
  <c r="T52" i="13"/>
  <c r="U52" i="13"/>
  <c r="V52" i="13"/>
  <c r="W52" i="13"/>
  <c r="X52" i="13"/>
  <c r="Y52" i="13"/>
  <c r="M52" i="13"/>
  <c r="G52" i="13"/>
  <c r="H52" i="13"/>
  <c r="I52" i="13"/>
  <c r="F52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M51" i="13"/>
  <c r="G51" i="13"/>
  <c r="H51" i="13"/>
  <c r="I51" i="13"/>
  <c r="F51" i="13"/>
  <c r="N130" i="4" l="1"/>
  <c r="O130" i="4"/>
  <c r="P130" i="4"/>
  <c r="Q130" i="4"/>
  <c r="R130" i="4"/>
  <c r="S130" i="4"/>
  <c r="T130" i="4"/>
  <c r="U130" i="4"/>
  <c r="V130" i="4"/>
  <c r="W130" i="4"/>
  <c r="X130" i="4"/>
  <c r="Y130" i="4"/>
  <c r="M130" i="4"/>
  <c r="G130" i="4"/>
  <c r="H130" i="4"/>
  <c r="I130" i="4"/>
  <c r="F130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M105" i="4"/>
  <c r="G105" i="4"/>
  <c r="H105" i="4"/>
  <c r="I105" i="4"/>
  <c r="F105" i="4"/>
  <c r="E94" i="4"/>
  <c r="E80" i="4"/>
  <c r="N52" i="4"/>
  <c r="O52" i="4"/>
  <c r="P52" i="4"/>
  <c r="Q52" i="4"/>
  <c r="R52" i="4"/>
  <c r="S52" i="4"/>
  <c r="T52" i="4"/>
  <c r="U52" i="4"/>
  <c r="V52" i="4"/>
  <c r="W52" i="4"/>
  <c r="X52" i="4"/>
  <c r="Y52" i="4"/>
  <c r="M52" i="4"/>
  <c r="K153" i="14" l="1"/>
  <c r="K211" i="14" l="1"/>
  <c r="K191" i="14"/>
  <c r="K172" i="14"/>
  <c r="N134" i="13" l="1"/>
  <c r="O134" i="13"/>
  <c r="P134" i="13"/>
  <c r="Q134" i="13"/>
  <c r="R134" i="13"/>
  <c r="S134" i="13"/>
  <c r="T134" i="13"/>
  <c r="U134" i="13"/>
  <c r="V134" i="13"/>
  <c r="W134" i="13"/>
  <c r="X134" i="13"/>
  <c r="Y134" i="13"/>
  <c r="G134" i="13"/>
  <c r="H134" i="13"/>
  <c r="I134" i="13"/>
  <c r="F134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M95" i="13"/>
  <c r="G95" i="13"/>
  <c r="H95" i="13"/>
  <c r="I95" i="13"/>
  <c r="F95" i="13"/>
  <c r="G68" i="13"/>
  <c r="H68" i="13"/>
  <c r="I68" i="13"/>
  <c r="F68" i="13"/>
  <c r="N94" i="4" l="1"/>
  <c r="O94" i="4"/>
  <c r="P94" i="4"/>
  <c r="Q94" i="4"/>
  <c r="R94" i="4"/>
  <c r="S94" i="4"/>
  <c r="T94" i="4"/>
  <c r="U94" i="4"/>
  <c r="V94" i="4"/>
  <c r="W94" i="4"/>
  <c r="X94" i="4"/>
  <c r="Y94" i="4"/>
  <c r="M94" i="4"/>
  <c r="G94" i="4"/>
  <c r="H94" i="4"/>
  <c r="I94" i="4"/>
  <c r="F94" i="4"/>
  <c r="N80" i="4"/>
  <c r="O80" i="4"/>
  <c r="P80" i="4"/>
  <c r="Q80" i="4"/>
  <c r="R80" i="4"/>
  <c r="S80" i="4"/>
  <c r="T80" i="4"/>
  <c r="U80" i="4"/>
  <c r="V80" i="4"/>
  <c r="W80" i="4"/>
  <c r="X80" i="4"/>
  <c r="Y80" i="4"/>
  <c r="M80" i="4"/>
  <c r="G80" i="4"/>
  <c r="H80" i="4"/>
  <c r="I80" i="4"/>
  <c r="F80" i="4"/>
  <c r="K184" i="14" l="1"/>
  <c r="E184" i="14"/>
  <c r="E165" i="14"/>
  <c r="K146" i="14"/>
  <c r="E146" i="14"/>
  <c r="K133" i="14"/>
  <c r="K113" i="14"/>
  <c r="K73" i="14"/>
  <c r="K53" i="14"/>
  <c r="K34" i="14"/>
  <c r="W146" i="14" l="1"/>
  <c r="O146" i="14"/>
  <c r="F146" i="14"/>
  <c r="V146" i="14"/>
  <c r="N146" i="14"/>
  <c r="I146" i="14"/>
  <c r="U146" i="14"/>
  <c r="G146" i="14"/>
  <c r="S146" i="14"/>
  <c r="T146" i="14"/>
  <c r="M146" i="14"/>
  <c r="R146" i="14"/>
  <c r="X146" i="14"/>
  <c r="Y146" i="14"/>
  <c r="Q146" i="14"/>
  <c r="H146" i="14"/>
  <c r="P146" i="14"/>
  <c r="N144" i="13" l="1"/>
  <c r="O144" i="13"/>
  <c r="P144" i="13"/>
  <c r="Q144" i="13"/>
  <c r="R144" i="13"/>
  <c r="S144" i="13"/>
  <c r="T144" i="13"/>
  <c r="U144" i="13"/>
  <c r="V144" i="13"/>
  <c r="W144" i="13"/>
  <c r="X144" i="13"/>
  <c r="Y144" i="13"/>
  <c r="M144" i="13"/>
  <c r="G144" i="13"/>
  <c r="H144" i="13"/>
  <c r="I144" i="13"/>
  <c r="F144" i="13"/>
  <c r="N118" i="4" l="1"/>
  <c r="N120" i="4" s="1"/>
  <c r="O118" i="4"/>
  <c r="O120" i="4" s="1"/>
  <c r="P118" i="4"/>
  <c r="P120" i="4" s="1"/>
  <c r="Q118" i="4"/>
  <c r="Q120" i="4" s="1"/>
  <c r="R118" i="4"/>
  <c r="R120" i="4" s="1"/>
  <c r="S118" i="4"/>
  <c r="S120" i="4" s="1"/>
  <c r="T118" i="4"/>
  <c r="T120" i="4" s="1"/>
  <c r="U118" i="4"/>
  <c r="U120" i="4" s="1"/>
  <c r="V118" i="4"/>
  <c r="V120" i="4" s="1"/>
  <c r="W118" i="4"/>
  <c r="W120" i="4" s="1"/>
  <c r="X118" i="4"/>
  <c r="X120" i="4" s="1"/>
  <c r="Y118" i="4"/>
  <c r="Y120" i="4" s="1"/>
  <c r="M118" i="4"/>
  <c r="G118" i="4"/>
  <c r="H118" i="4"/>
  <c r="I118" i="4"/>
  <c r="F118" i="4"/>
  <c r="N39" i="4"/>
  <c r="O39" i="4"/>
  <c r="P39" i="4"/>
  <c r="Q39" i="4"/>
  <c r="R39" i="4"/>
  <c r="S39" i="4"/>
  <c r="T39" i="4"/>
  <c r="U39" i="4"/>
  <c r="V39" i="4"/>
  <c r="W39" i="4"/>
  <c r="X39" i="4"/>
  <c r="Y39" i="4"/>
  <c r="M39" i="4"/>
  <c r="G138" i="2" l="1"/>
  <c r="H138" i="2"/>
  <c r="I138" i="2"/>
  <c r="E138" i="2"/>
  <c r="F138" i="2" l="1"/>
  <c r="K203" i="14"/>
  <c r="K165" i="14" l="1"/>
  <c r="K174" i="14" l="1"/>
  <c r="K125" i="14" l="1"/>
  <c r="K106" i="14" l="1"/>
  <c r="K86" i="14" l="1"/>
  <c r="K66" i="14" l="1"/>
  <c r="K46" i="14" l="1"/>
  <c r="K27" i="14" l="1"/>
  <c r="K138" i="2" l="1"/>
  <c r="K125" i="2"/>
  <c r="K113" i="2"/>
  <c r="K102" i="2"/>
  <c r="K89" i="2"/>
  <c r="K77" i="2"/>
  <c r="K65" i="2"/>
  <c r="K52" i="2"/>
  <c r="K39" i="2"/>
  <c r="K27" i="2"/>
  <c r="K147" i="13" l="1"/>
  <c r="K134" i="13"/>
  <c r="K121" i="13"/>
  <c r="K108" i="13"/>
  <c r="K95" i="13"/>
  <c r="K81" i="13"/>
  <c r="K54" i="13"/>
  <c r="K68" i="13"/>
  <c r="K41" i="13"/>
  <c r="K28" i="13"/>
  <c r="K147" i="4" l="1"/>
  <c r="K133" i="4"/>
  <c r="K120" i="4"/>
  <c r="K107" i="4"/>
  <c r="K54" i="4"/>
  <c r="K67" i="4"/>
  <c r="K41" i="4"/>
  <c r="K28" i="4"/>
  <c r="E203" i="14" l="1"/>
  <c r="E125" i="14"/>
  <c r="E66" i="14"/>
  <c r="H66" i="14" l="1"/>
  <c r="H203" i="14"/>
  <c r="I66" i="14"/>
  <c r="I203" i="14"/>
  <c r="G66" i="14"/>
  <c r="G203" i="14"/>
  <c r="F66" i="14"/>
  <c r="F203" i="14"/>
  <c r="E106" i="14"/>
  <c r="E86" i="14" l="1"/>
  <c r="Y66" i="14" l="1"/>
  <c r="Q66" i="14"/>
  <c r="X66" i="14"/>
  <c r="P66" i="14"/>
  <c r="W66" i="14"/>
  <c r="O66" i="14"/>
  <c r="V66" i="14"/>
  <c r="T66" i="14"/>
  <c r="U66" i="14"/>
  <c r="S66" i="14"/>
  <c r="N66" i="14"/>
  <c r="M66" i="14"/>
  <c r="R66" i="14"/>
  <c r="N138" i="2"/>
  <c r="O138" i="2"/>
  <c r="P138" i="2"/>
  <c r="Q138" i="2"/>
  <c r="R138" i="2"/>
  <c r="S138" i="2"/>
  <c r="T138" i="2"/>
  <c r="U138" i="2"/>
  <c r="V138" i="2"/>
  <c r="W138" i="2"/>
  <c r="X138" i="2"/>
  <c r="Y138" i="2"/>
  <c r="M138" i="2"/>
  <c r="V125" i="2"/>
  <c r="I125" i="2"/>
  <c r="E125" i="2"/>
  <c r="F125" i="2"/>
  <c r="E89" i="2"/>
  <c r="E77" i="2"/>
  <c r="E65" i="2"/>
  <c r="I65" i="2"/>
  <c r="H65" i="2"/>
  <c r="E52" i="2"/>
  <c r="N81" i="13"/>
  <c r="O81" i="13"/>
  <c r="P81" i="13"/>
  <c r="Q81" i="13"/>
  <c r="R81" i="13"/>
  <c r="S81" i="13"/>
  <c r="T81" i="13"/>
  <c r="U81" i="13"/>
  <c r="V81" i="13"/>
  <c r="W81" i="13"/>
  <c r="X81" i="13"/>
  <c r="Y81" i="13"/>
  <c r="M81" i="13"/>
  <c r="F81" i="13"/>
  <c r="G81" i="13"/>
  <c r="H81" i="13"/>
  <c r="I81" i="13"/>
  <c r="E81" i="13"/>
  <c r="M134" i="13"/>
  <c r="E134" i="13"/>
  <c r="Y65" i="2" l="1"/>
  <c r="Q65" i="2"/>
  <c r="N125" i="2"/>
  <c r="M125" i="2"/>
  <c r="R125" i="2"/>
  <c r="G125" i="2"/>
  <c r="T125" i="2"/>
  <c r="H125" i="2"/>
  <c r="X125" i="2"/>
  <c r="P125" i="2"/>
  <c r="W125" i="2"/>
  <c r="O125" i="2"/>
  <c r="Y125" i="2"/>
  <c r="Q125" i="2"/>
  <c r="S125" i="2"/>
  <c r="U125" i="2"/>
  <c r="W65" i="2"/>
  <c r="V65" i="2"/>
  <c r="N65" i="2"/>
  <c r="M52" i="2"/>
  <c r="O65" i="2"/>
  <c r="X65" i="2"/>
  <c r="U52" i="2"/>
  <c r="T52" i="2"/>
  <c r="F52" i="2"/>
  <c r="M65" i="2"/>
  <c r="R65" i="2"/>
  <c r="P65" i="2"/>
  <c r="I52" i="2"/>
  <c r="S65" i="2"/>
  <c r="G52" i="2"/>
  <c r="Q52" i="2"/>
  <c r="X52" i="2"/>
  <c r="P52" i="2"/>
  <c r="F65" i="2"/>
  <c r="S52" i="2"/>
  <c r="U65" i="2"/>
  <c r="Y52" i="2"/>
  <c r="T65" i="2"/>
  <c r="W52" i="2"/>
  <c r="O52" i="2"/>
  <c r="G65" i="2"/>
  <c r="R52" i="2"/>
  <c r="H52" i="2"/>
  <c r="V52" i="2"/>
  <c r="N52" i="2"/>
  <c r="I133" i="4" l="1"/>
  <c r="E133" i="4"/>
  <c r="H133" i="4"/>
  <c r="G133" i="4"/>
  <c r="F133" i="4"/>
  <c r="N133" i="4" l="1"/>
  <c r="R133" i="4"/>
  <c r="V133" i="4"/>
  <c r="M133" i="4"/>
  <c r="T133" i="4"/>
  <c r="X133" i="4"/>
  <c r="U133" i="4"/>
  <c r="Y133" i="4"/>
  <c r="Q133" i="4"/>
  <c r="P133" i="4"/>
  <c r="S133" i="4"/>
  <c r="W133" i="4"/>
  <c r="O133" i="4"/>
  <c r="P86" i="14" l="1"/>
  <c r="Q86" i="14"/>
  <c r="R86" i="14"/>
  <c r="S86" i="14"/>
  <c r="X86" i="14"/>
  <c r="Y86" i="14"/>
  <c r="M86" i="14"/>
  <c r="N165" i="14"/>
  <c r="O165" i="14"/>
  <c r="P165" i="14"/>
  <c r="Q165" i="14"/>
  <c r="R165" i="14"/>
  <c r="S165" i="14"/>
  <c r="T165" i="14"/>
  <c r="U165" i="14"/>
  <c r="V165" i="14"/>
  <c r="W165" i="14"/>
  <c r="X165" i="14"/>
  <c r="Y165" i="14"/>
  <c r="M165" i="14"/>
  <c r="O203" i="14"/>
  <c r="W203" i="14"/>
  <c r="N125" i="14"/>
  <c r="O125" i="14"/>
  <c r="P125" i="14"/>
  <c r="Q125" i="14"/>
  <c r="R125" i="14"/>
  <c r="S125" i="14"/>
  <c r="T125" i="14"/>
  <c r="U125" i="14"/>
  <c r="V125" i="14"/>
  <c r="W125" i="14"/>
  <c r="X125" i="14"/>
  <c r="Y125" i="14"/>
  <c r="M125" i="14"/>
  <c r="P106" i="14"/>
  <c r="Q106" i="14"/>
  <c r="R106" i="14"/>
  <c r="S106" i="14"/>
  <c r="X106" i="14"/>
  <c r="Y106" i="14"/>
  <c r="M106" i="14"/>
  <c r="X46" i="14" l="1"/>
  <c r="P46" i="14"/>
  <c r="T203" i="14"/>
  <c r="U203" i="14"/>
  <c r="S203" i="14"/>
  <c r="Y203" i="14"/>
  <c r="Q203" i="14"/>
  <c r="X203" i="14"/>
  <c r="P203" i="14"/>
  <c r="M203" i="14"/>
  <c r="R203" i="14"/>
  <c r="X27" i="14"/>
  <c r="P27" i="14"/>
  <c r="M46" i="14"/>
  <c r="R46" i="14"/>
  <c r="V203" i="14"/>
  <c r="N203" i="14"/>
  <c r="Q27" i="14"/>
  <c r="Y27" i="14"/>
  <c r="S27" i="14"/>
  <c r="U46" i="14"/>
  <c r="W106" i="14"/>
  <c r="O106" i="14"/>
  <c r="T46" i="14"/>
  <c r="Y46" i="14"/>
  <c r="Q46" i="14"/>
  <c r="V106" i="14"/>
  <c r="N106" i="14"/>
  <c r="S46" i="14"/>
  <c r="U106" i="14"/>
  <c r="T106" i="14"/>
  <c r="W86" i="14"/>
  <c r="O86" i="14"/>
  <c r="V86" i="14"/>
  <c r="N86" i="14"/>
  <c r="U86" i="14"/>
  <c r="T86" i="14"/>
  <c r="O27" i="14"/>
  <c r="V27" i="14"/>
  <c r="N27" i="14"/>
  <c r="O46" i="14"/>
  <c r="T27" i="14"/>
  <c r="V46" i="14"/>
  <c r="N46" i="14"/>
  <c r="W27" i="14"/>
  <c r="U27" i="14"/>
  <c r="W46" i="14"/>
  <c r="M27" i="14"/>
  <c r="R27" i="14"/>
  <c r="N113" i="2"/>
  <c r="O113" i="2"/>
  <c r="P113" i="2"/>
  <c r="Q113" i="2"/>
  <c r="R113" i="2"/>
  <c r="S113" i="2"/>
  <c r="T113" i="2"/>
  <c r="U113" i="2"/>
  <c r="V113" i="2"/>
  <c r="W113" i="2"/>
  <c r="X113" i="2"/>
  <c r="Y113" i="2"/>
  <c r="M113" i="2"/>
  <c r="N89" i="2"/>
  <c r="O89" i="2"/>
  <c r="P89" i="2"/>
  <c r="Q89" i="2"/>
  <c r="R89" i="2"/>
  <c r="S89" i="2"/>
  <c r="T89" i="2"/>
  <c r="U89" i="2"/>
  <c r="V89" i="2"/>
  <c r="W89" i="2"/>
  <c r="X89" i="2"/>
  <c r="Y89" i="2"/>
  <c r="M89" i="2"/>
  <c r="P39" i="2"/>
  <c r="X39" i="2"/>
  <c r="N27" i="2"/>
  <c r="R27" i="2"/>
  <c r="U27" i="2"/>
  <c r="V27" i="2"/>
  <c r="W27" i="2"/>
  <c r="Y27" i="2"/>
  <c r="M77" i="2" l="1"/>
  <c r="R77" i="2"/>
  <c r="Y102" i="2"/>
  <c r="Q102" i="2"/>
  <c r="W39" i="2"/>
  <c r="O39" i="2"/>
  <c r="Y77" i="2"/>
  <c r="Q77" i="2"/>
  <c r="X102" i="2"/>
  <c r="N39" i="2"/>
  <c r="X77" i="2"/>
  <c r="P77" i="2"/>
  <c r="V39" i="2"/>
  <c r="W77" i="2"/>
  <c r="Q27" i="2"/>
  <c r="S27" i="2"/>
  <c r="U39" i="2"/>
  <c r="O77" i="2"/>
  <c r="M27" i="2"/>
  <c r="T39" i="2"/>
  <c r="V77" i="2"/>
  <c r="N77" i="2"/>
  <c r="W102" i="2"/>
  <c r="S39" i="2"/>
  <c r="U77" i="2"/>
  <c r="M39" i="2"/>
  <c r="R39" i="2"/>
  <c r="T77" i="2"/>
  <c r="U102" i="2"/>
  <c r="Y39" i="2"/>
  <c r="Q39" i="2"/>
  <c r="S77" i="2"/>
  <c r="T102" i="2"/>
  <c r="S102" i="2"/>
  <c r="M102" i="2"/>
  <c r="R102" i="2"/>
  <c r="P102" i="2"/>
  <c r="O102" i="2"/>
  <c r="V102" i="2"/>
  <c r="N102" i="2"/>
  <c r="O27" i="2"/>
  <c r="X27" i="2"/>
  <c r="P27" i="2"/>
  <c r="T27" i="2"/>
  <c r="I86" i="14" l="1"/>
  <c r="H86" i="14"/>
  <c r="G86" i="14"/>
  <c r="F86" i="14"/>
  <c r="I106" i="14" l="1"/>
  <c r="H106" i="14"/>
  <c r="G106" i="14"/>
  <c r="F106" i="14"/>
  <c r="I165" i="14" l="1"/>
  <c r="H165" i="14"/>
  <c r="G165" i="14"/>
  <c r="F165" i="14"/>
  <c r="I125" i="14"/>
  <c r="H125" i="14"/>
  <c r="G125" i="14"/>
  <c r="F125" i="14"/>
  <c r="E46" i="14"/>
  <c r="I46" i="14"/>
  <c r="H46" i="14"/>
  <c r="G46" i="14"/>
  <c r="F46" i="14"/>
  <c r="E27" i="14"/>
  <c r="I27" i="14"/>
  <c r="H27" i="14"/>
  <c r="G27" i="14" l="1"/>
  <c r="F27" i="14"/>
  <c r="E102" i="2" l="1"/>
  <c r="I102" i="2"/>
  <c r="H102" i="2"/>
  <c r="G102" i="2"/>
  <c r="F102" i="2"/>
  <c r="Y54" i="4" l="1"/>
  <c r="X54" i="4"/>
  <c r="W54" i="4"/>
  <c r="V54" i="4"/>
  <c r="U54" i="4"/>
  <c r="T54" i="4"/>
  <c r="S54" i="4"/>
  <c r="R54" i="4"/>
  <c r="Q54" i="4"/>
  <c r="P54" i="4"/>
  <c r="O54" i="4"/>
  <c r="N54" i="4"/>
  <c r="M54" i="4"/>
  <c r="E54" i="4"/>
  <c r="H54" i="4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E54" i="13"/>
  <c r="H54" i="13"/>
  <c r="G54" i="13"/>
  <c r="F54" i="13"/>
  <c r="F54" i="4" l="1"/>
  <c r="G54" i="4"/>
  <c r="I54" i="4"/>
  <c r="I54" i="13"/>
  <c r="Y147" i="13" l="1"/>
  <c r="X147" i="13"/>
  <c r="W147" i="13"/>
  <c r="V147" i="13"/>
  <c r="U147" i="13"/>
  <c r="T147" i="13"/>
  <c r="S147" i="13"/>
  <c r="R147" i="13"/>
  <c r="Q147" i="13"/>
  <c r="P147" i="13"/>
  <c r="O147" i="13"/>
  <c r="N147" i="13"/>
  <c r="M147" i="13"/>
  <c r="I147" i="13"/>
  <c r="E147" i="13"/>
  <c r="H147" i="13"/>
  <c r="G147" i="13"/>
  <c r="F147" i="13"/>
  <c r="Y121" i="13"/>
  <c r="X121" i="13"/>
  <c r="W121" i="13"/>
  <c r="V121" i="13"/>
  <c r="U121" i="13"/>
  <c r="T121" i="13"/>
  <c r="S121" i="13"/>
  <c r="R121" i="13"/>
  <c r="Q121" i="13"/>
  <c r="P121" i="13"/>
  <c r="O121" i="13"/>
  <c r="N121" i="13"/>
  <c r="M121" i="13"/>
  <c r="F121" i="13"/>
  <c r="E121" i="13"/>
  <c r="I121" i="13"/>
  <c r="H121" i="13"/>
  <c r="G121" i="13"/>
  <c r="Y108" i="13"/>
  <c r="X108" i="13"/>
  <c r="W108" i="13"/>
  <c r="V108" i="13"/>
  <c r="U108" i="13"/>
  <c r="T108" i="13"/>
  <c r="S108" i="13"/>
  <c r="R108" i="13"/>
  <c r="Q108" i="13"/>
  <c r="P108" i="13"/>
  <c r="O108" i="13"/>
  <c r="N108" i="13"/>
  <c r="M108" i="13"/>
  <c r="I108" i="13"/>
  <c r="H108" i="13"/>
  <c r="G108" i="13"/>
  <c r="F108" i="13"/>
  <c r="E108" i="13"/>
  <c r="Y68" i="13"/>
  <c r="X68" i="13"/>
  <c r="W68" i="13"/>
  <c r="V68" i="13"/>
  <c r="U68" i="13"/>
  <c r="T68" i="13"/>
  <c r="S68" i="13"/>
  <c r="R68" i="13"/>
  <c r="Q68" i="13"/>
  <c r="P68" i="13"/>
  <c r="O68" i="13"/>
  <c r="N68" i="13"/>
  <c r="M68" i="13"/>
  <c r="E68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I41" i="13"/>
  <c r="E41" i="13"/>
  <c r="H41" i="13"/>
  <c r="G41" i="13"/>
  <c r="F41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I28" i="13"/>
  <c r="H28" i="13"/>
  <c r="E28" i="13"/>
  <c r="G28" i="13"/>
  <c r="F28" i="13"/>
  <c r="N147" i="4" l="1"/>
  <c r="O147" i="4"/>
  <c r="P147" i="4"/>
  <c r="Q147" i="4"/>
  <c r="R147" i="4"/>
  <c r="S147" i="4"/>
  <c r="T147" i="4"/>
  <c r="U147" i="4"/>
  <c r="V147" i="4"/>
  <c r="W147" i="4"/>
  <c r="X147" i="4"/>
  <c r="Y147" i="4"/>
  <c r="M147" i="4"/>
  <c r="M120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M107" i="4"/>
  <c r="N67" i="4"/>
  <c r="O67" i="4"/>
  <c r="P67" i="4"/>
  <c r="Q67" i="4"/>
  <c r="R67" i="4"/>
  <c r="S67" i="4"/>
  <c r="T67" i="4"/>
  <c r="U67" i="4"/>
  <c r="V67" i="4"/>
  <c r="W67" i="4"/>
  <c r="X67" i="4"/>
  <c r="Y67" i="4"/>
  <c r="M67" i="4" l="1"/>
  <c r="N41" i="4" l="1"/>
  <c r="O41" i="4"/>
  <c r="P41" i="4"/>
  <c r="Q41" i="4"/>
  <c r="R41" i="4"/>
  <c r="S41" i="4"/>
  <c r="T41" i="4"/>
  <c r="U41" i="4"/>
  <c r="V41" i="4"/>
  <c r="W41" i="4"/>
  <c r="X41" i="4"/>
  <c r="Y41" i="4"/>
  <c r="M41" i="4"/>
  <c r="F77" i="2" l="1"/>
  <c r="H77" i="2"/>
  <c r="G77" i="2"/>
  <c r="I77" i="2"/>
  <c r="E107" i="4"/>
  <c r="I107" i="4" l="1"/>
  <c r="H107" i="4"/>
  <c r="G107" i="4"/>
  <c r="F107" i="4"/>
  <c r="E39" i="2" l="1"/>
  <c r="F113" i="2"/>
  <c r="G113" i="2"/>
  <c r="H113" i="2"/>
  <c r="I113" i="2"/>
  <c r="E113" i="2"/>
  <c r="I89" i="2" l="1"/>
  <c r="H89" i="2"/>
  <c r="G89" i="2"/>
  <c r="F89" i="2"/>
  <c r="I147" i="4" l="1"/>
  <c r="F147" i="4"/>
  <c r="H147" i="4"/>
  <c r="G147" i="4"/>
  <c r="I67" i="4"/>
  <c r="G67" i="4"/>
  <c r="H67" i="4"/>
  <c r="F67" i="4"/>
  <c r="I39" i="2" l="1"/>
  <c r="H39" i="2"/>
  <c r="G39" i="2"/>
  <c r="F39" i="2"/>
  <c r="H27" i="2" l="1"/>
  <c r="G27" i="2"/>
  <c r="F27" i="2"/>
  <c r="I27" i="2" l="1"/>
  <c r="F120" i="4"/>
  <c r="G120" i="4"/>
  <c r="H120" i="4"/>
  <c r="I120" i="4"/>
  <c r="E147" i="4" l="1"/>
  <c r="E120" i="4"/>
  <c r="E41" i="4"/>
  <c r="E27" i="2"/>
  <c r="F41" i="4" l="1"/>
  <c r="G41" i="4"/>
  <c r="H41" i="4"/>
  <c r="I41" i="4"/>
  <c r="F184" i="14" l="1"/>
  <c r="H184" i="14"/>
  <c r="I184" i="14"/>
  <c r="G184" i="14"/>
  <c r="X184" i="14"/>
  <c r="R184" i="14"/>
  <c r="O184" i="14"/>
  <c r="V184" i="14"/>
  <c r="S184" i="14"/>
  <c r="N184" i="14"/>
  <c r="W184" i="14"/>
  <c r="U184" i="14"/>
  <c r="P184" i="14"/>
  <c r="M184" i="14"/>
  <c r="T184" i="14"/>
  <c r="Q184" i="14"/>
  <c r="Y184" i="14"/>
</calcChain>
</file>

<file path=xl/sharedStrings.xml><?xml version="1.0" encoding="utf-8"?>
<sst xmlns="http://schemas.openxmlformats.org/spreadsheetml/2006/main" count="1959" uniqueCount="227">
  <si>
    <t>Т/К</t>
  </si>
  <si>
    <t>Наименование блюда</t>
  </si>
  <si>
    <t>Выход,г</t>
  </si>
  <si>
    <t>Пищевые вещества</t>
  </si>
  <si>
    <t>Завтрак</t>
  </si>
  <si>
    <t>54-6к-2020</t>
  </si>
  <si>
    <t>Каша вязкая молочная пшенная</t>
  </si>
  <si>
    <t>54-9гн-2020</t>
  </si>
  <si>
    <t>Кофейный напиток с молоком</t>
  </si>
  <si>
    <t>Обед</t>
  </si>
  <si>
    <t>Каша гречневая рассыпчатая</t>
  </si>
  <si>
    <t>54-8гн-2020</t>
  </si>
  <si>
    <t>Какао с молоком сгущенным</t>
  </si>
  <si>
    <t>54-18к-2020</t>
  </si>
  <si>
    <t>Суп молочный с рисом</t>
  </si>
  <si>
    <t>54-1з-2020</t>
  </si>
  <si>
    <t>Сыр твердых сортов в нарезке</t>
  </si>
  <si>
    <t>54-3гн-2020</t>
  </si>
  <si>
    <t>Чай черный байховый с лимоном и сахаром</t>
  </si>
  <si>
    <t>54-1г-2020</t>
  </si>
  <si>
    <t>Макароны отварные</t>
  </si>
  <si>
    <t>54-16м-2020</t>
  </si>
  <si>
    <t>Тефтели из говядины с рисом</t>
  </si>
  <si>
    <t>54-2гн-2020</t>
  </si>
  <si>
    <t>Чай черный байховый с сахаром</t>
  </si>
  <si>
    <t>Масло сливочное (порциями)</t>
  </si>
  <si>
    <t>54-9м-2020</t>
  </si>
  <si>
    <t>Жаркое по-домашнему c говядиной тушеной</t>
  </si>
  <si>
    <t>54-19к-2020</t>
  </si>
  <si>
    <t>54-6г-2020</t>
  </si>
  <si>
    <t>Рис отварной</t>
  </si>
  <si>
    <t>Котлеты из курицы</t>
  </si>
  <si>
    <t>54-7хн-2020</t>
  </si>
  <si>
    <t>54-11г-2020</t>
  </si>
  <si>
    <t>Картофельное пюре</t>
  </si>
  <si>
    <t>54-16к-2020</t>
  </si>
  <si>
    <t>Каша " Дружба"</t>
  </si>
  <si>
    <t>Макароны отварные с сыром</t>
  </si>
  <si>
    <t>Каша вязкая молочная пшеничная</t>
  </si>
  <si>
    <t>54-9к-2020</t>
  </si>
  <si>
    <t>Каша вязкая молочная овсяная</t>
  </si>
  <si>
    <t>Согласно СанПин при приготовлении блюд используется йодированная соль</t>
  </si>
  <si>
    <t>Фрукты свежие (яблоко)</t>
  </si>
  <si>
    <t>54-3г-2020</t>
  </si>
  <si>
    <t>Сок фруктовый в индивидуальной упаковке, 200 гр.</t>
  </si>
  <si>
    <t>СБОРНИК РЕЦЕПТУР БЛЮД И ТИПОВЫХ МЕНЮ ДЛЯ ОРГАНИЗАЦИИ ПИТАНИЯ ДЕТЕЙ ШКОЛЬНОГО ВОЗРАСТА, МОСКВА-2021</t>
  </si>
  <si>
    <t>СБОРНИК ТЕХНОЛОГИЧЕСКИХ НОРМАТИВОВ РЕЦЕПТУР БЛЮД КУЛИНАРНЫХ ИЗДЕЛИЙ ДЛЯ ШКОЛЬНОГО ПИТНИЯ, ПОЛЯКОВСКИЙ Ю.И., УФА  - 2010</t>
  </si>
  <si>
    <t>Каша рисовая молочная жидкая</t>
  </si>
  <si>
    <t>СБОРНИК РЕЦЕПТУР БЛЮД И КУЛИНАРНЫХ ИЗДЕЛИЙ ДЛЯ ПРЕДПРИЯТИЙ ОБЩЕСТВЕННОГО ПИТАНИЯ</t>
  </si>
  <si>
    <t>Голень куриная в сметанном соусе</t>
  </si>
  <si>
    <t>54-2к-2020</t>
  </si>
  <si>
    <t>Каша вязкая молочная кукурузная</t>
  </si>
  <si>
    <t>Бутерброд с маслом и сыром</t>
  </si>
  <si>
    <t>Рассольник " Ленинградский"</t>
  </si>
  <si>
    <t>54-11р-2020</t>
  </si>
  <si>
    <t>Суп картофельный с горохом</t>
  </si>
  <si>
    <t>Масло сливочное (порционно)</t>
  </si>
  <si>
    <t>СБОРНИК ТИПОВЫХ МЕНЮ И РЕЦЕПТУР БЛЮД ДЛЯ ОРГАНИЗАЦИИ ПИТАНИЯ ДЕТЕЙ ШКОЛЬНОГО ВОЗРАСТА В ОРГАНИЗАЦИЯХ С КРУГЛОСУТОЧНЫМ РЕЖИМОМ ПРЕБЫВАНИЯ И ИНЫМИ РЕЖИМАМИ ФУНКЦИОНИРОВАНИЯ, НОВОСИБИРСК-2020</t>
  </si>
  <si>
    <t>Салат из моркови и яблок</t>
  </si>
  <si>
    <t>Напиток из шиповника</t>
  </si>
  <si>
    <t>Возрастная категория 7-11 лет</t>
  </si>
  <si>
    <t>Возрастная категория 7-11  лет</t>
  </si>
  <si>
    <t>Возрастная категория 12-18 лет</t>
  </si>
  <si>
    <t>Пром.</t>
  </si>
  <si>
    <t>ИТОГО за обед:</t>
  </si>
  <si>
    <t>54-4г-2020</t>
  </si>
  <si>
    <t>Булочка "Дорожная"</t>
  </si>
  <si>
    <t>Котлеты рыбные (минтай)</t>
  </si>
  <si>
    <t>Итого за завтрак:</t>
  </si>
  <si>
    <t>54-1о-2020</t>
  </si>
  <si>
    <t>Омлет натуральный</t>
  </si>
  <si>
    <t>ИТОГО за завтрак:</t>
  </si>
  <si>
    <t>Помидор в нарезке</t>
  </si>
  <si>
    <t>Прием пищи</t>
  </si>
  <si>
    <t>Вес блюда, г</t>
  </si>
  <si>
    <t>№ Т/К</t>
  </si>
  <si>
    <t>Неделя 1 День 2</t>
  </si>
  <si>
    <t>Неделя 1 День 4</t>
  </si>
  <si>
    <t>Кисель "Плодово-ягодный"</t>
  </si>
  <si>
    <t>Неделя 2 День 2</t>
  </si>
  <si>
    <t>Суп из овощей с мясными фрикадельками</t>
  </si>
  <si>
    <t>Капуста тушеная с мясом</t>
  </si>
  <si>
    <t>54-10м-2020</t>
  </si>
  <si>
    <t>Неделя 2 День 3</t>
  </si>
  <si>
    <t>Неделя 2 День 4</t>
  </si>
  <si>
    <t>Суп с рыбными консервами</t>
  </si>
  <si>
    <t>Котлета "Здоровье"</t>
  </si>
  <si>
    <t>Неделя 2 День 5</t>
  </si>
  <si>
    <t>Неделя 1 День 1</t>
  </si>
  <si>
    <t>Неделя 1 День 3</t>
  </si>
  <si>
    <t>54-13к-2020</t>
  </si>
  <si>
    <t>Пирожок с яблоком</t>
  </si>
  <si>
    <t>Неделя 1 день 5</t>
  </si>
  <si>
    <t>Неделя 2 День 1</t>
  </si>
  <si>
    <t xml:space="preserve">Завтрак </t>
  </si>
  <si>
    <t>Запеканка из творога</t>
  </si>
  <si>
    <t>в возрастном разрезе 7-11 лет,</t>
  </si>
  <si>
    <t>обучающихся в МКОУ СОШ №  16 г.Бирюсинска</t>
  </si>
  <si>
    <t>ул. Ленина 65, город Бирюсинск, Тайшетского района, Иркутской области, 665050</t>
  </si>
  <si>
    <t xml:space="preserve">тел (839563) 7-11-33,   e-mail: school16_56@mail.ru </t>
  </si>
  <si>
    <t>Перспективное 10-дневное меню для учащихся 1-4 классов,</t>
  </si>
  <si>
    <t>Перспективное 10-дневное меню для учащихся ОВЗ и детей-инвалидов,</t>
  </si>
  <si>
    <t>Перспективное 10-дневное меню для учащихся 5-11 классов,</t>
  </si>
  <si>
    <t>в возрастном разрезе 12-18 лет,</t>
  </si>
  <si>
    <t>Неделя 1 День 5</t>
  </si>
  <si>
    <t>Муниципальное казенное общеобразовательное учреждение средняя образовательная школа № 16 г. Бирюсинска</t>
  </si>
  <si>
    <t>Утверждаю:</t>
  </si>
  <si>
    <t>Салат из белокочанной капусты с зеленым горошком</t>
  </si>
  <si>
    <t>ИТОГО:</t>
  </si>
  <si>
    <t>Каша пшенная</t>
  </si>
  <si>
    <t>Хлеб пшеничный</t>
  </si>
  <si>
    <t>Хлеб ржаной</t>
  </si>
  <si>
    <t>Яблоко</t>
  </si>
  <si>
    <t>Макароны с сыром</t>
  </si>
  <si>
    <t xml:space="preserve">Хлеб пшеничный </t>
  </si>
  <si>
    <t>Чай с сахаром</t>
  </si>
  <si>
    <t>Кофейный напиток</t>
  </si>
  <si>
    <t xml:space="preserve">Сок фруктовый </t>
  </si>
  <si>
    <t xml:space="preserve">Хлеб ржаной </t>
  </si>
  <si>
    <t>Борщ со сметаной</t>
  </si>
  <si>
    <t>Тефтели из говядины</t>
  </si>
  <si>
    <t>Чай  с сахаром</t>
  </si>
  <si>
    <t>Сыр  в нарезке</t>
  </si>
  <si>
    <t>Каша  пшеничная</t>
  </si>
  <si>
    <t>Чай с лимоном и сахаром</t>
  </si>
  <si>
    <t>Салат из капусты</t>
  </si>
  <si>
    <t>Суп картофельный с пшеном</t>
  </si>
  <si>
    <t>Минтай тушеный в томате с овощами</t>
  </si>
  <si>
    <t>Компот из сухофруктов</t>
  </si>
  <si>
    <t xml:space="preserve">Кофейный напиток </t>
  </si>
  <si>
    <t xml:space="preserve">Щи из свежей капусты </t>
  </si>
  <si>
    <t xml:space="preserve">Каша гречневая </t>
  </si>
  <si>
    <t xml:space="preserve">Соус молочный </t>
  </si>
  <si>
    <t>Салат из капусты с зеленым горошком</t>
  </si>
  <si>
    <t xml:space="preserve">Каша рисовая </t>
  </si>
  <si>
    <t>Суп молочный с вермишелью</t>
  </si>
  <si>
    <t>Сок фруктовый .</t>
  </si>
  <si>
    <t>Каша  кукурузная</t>
  </si>
  <si>
    <t xml:space="preserve">Печенье "Юбилейное" </t>
  </si>
  <si>
    <t>Каша овсяная</t>
  </si>
  <si>
    <t xml:space="preserve">Ватрушка с творогом </t>
  </si>
  <si>
    <t>Лапшевник из творога</t>
  </si>
  <si>
    <t>Белки, г</t>
  </si>
  <si>
    <t>Жиры, г</t>
  </si>
  <si>
    <t>Углеводы, г</t>
  </si>
  <si>
    <t>Энергетическая ценность, ккал</t>
  </si>
  <si>
    <t>В1</t>
  </si>
  <si>
    <t>В2</t>
  </si>
  <si>
    <t>А</t>
  </si>
  <si>
    <t>С</t>
  </si>
  <si>
    <t>pp</t>
  </si>
  <si>
    <t>Na</t>
  </si>
  <si>
    <t>K</t>
  </si>
  <si>
    <t>Ca</t>
  </si>
  <si>
    <t>Mg</t>
  </si>
  <si>
    <t>P</t>
  </si>
  <si>
    <t>Fe</t>
  </si>
  <si>
    <t>I</t>
  </si>
  <si>
    <t>Se</t>
  </si>
  <si>
    <t>Витамины и минералы</t>
  </si>
  <si>
    <t>в осенне-зимний период 2024-2025 г.</t>
  </si>
  <si>
    <t>Курица тушеная с морковью</t>
  </si>
  <si>
    <t>Кисель из брусники</t>
  </si>
  <si>
    <t>54-10хн-2020</t>
  </si>
  <si>
    <t>Йогурт в индивидуальной упаковке, 100 гр.</t>
  </si>
  <si>
    <t>Рыба, тушеная в томате с овощами (минтай)</t>
  </si>
  <si>
    <t>Возрастная категория 12-18  лет</t>
  </si>
  <si>
    <t xml:space="preserve">Суп молочный с макаронными изделиями </t>
  </si>
  <si>
    <t>54-25м-2020</t>
  </si>
  <si>
    <t>пш 30</t>
  </si>
  <si>
    <t>рж 30</t>
  </si>
  <si>
    <t>пш.40</t>
  </si>
  <si>
    <t xml:space="preserve">рж.40 </t>
  </si>
  <si>
    <t>Неделя 1 день 1</t>
  </si>
  <si>
    <t>Неделя 1 день 2</t>
  </si>
  <si>
    <t>Неделя 1 день 3</t>
  </si>
  <si>
    <t>Неделя 1 день 4</t>
  </si>
  <si>
    <t>Неделя 2 день 1</t>
  </si>
  <si>
    <t>Неделя 2 день 2</t>
  </si>
  <si>
    <t>Неделя 2 день 3</t>
  </si>
  <si>
    <t>Неделя 2 день 4</t>
  </si>
  <si>
    <t>Неделя 2 день 5</t>
  </si>
  <si>
    <t>пш</t>
  </si>
  <si>
    <t>рж</t>
  </si>
  <si>
    <t xml:space="preserve">Жаркое по-домашнему </t>
  </si>
  <si>
    <t>Цена, руб.</t>
  </si>
  <si>
    <t>_____________________ Ефимова Г.В.</t>
  </si>
  <si>
    <t>Компот из смеси сухофруктов</t>
  </si>
  <si>
    <t>Директор МКОУ СОШ № 16 г. Бирюсинска</t>
  </si>
  <si>
    <t>"____" __________________ 2025 г.</t>
  </si>
  <si>
    <t>Какао с молоком</t>
  </si>
  <si>
    <t>54-7гн-2020</t>
  </si>
  <si>
    <t>Компот из кураги</t>
  </si>
  <si>
    <t>54-5хн-2020</t>
  </si>
  <si>
    <t>Соус красный основной</t>
  </si>
  <si>
    <t>54-3соус-2020</t>
  </si>
  <si>
    <t>Гуляш из мяса птицы</t>
  </si>
  <si>
    <t>Огурец в нарезке</t>
  </si>
  <si>
    <t>54-2з-2020</t>
  </si>
  <si>
    <t xml:space="preserve">Салат из белокочанной капусты </t>
  </si>
  <si>
    <t>54-7з-2020</t>
  </si>
  <si>
    <t>Шоколад" Аленка"</t>
  </si>
  <si>
    <t>Конфета шоколадная</t>
  </si>
  <si>
    <t>54-3з-2020</t>
  </si>
  <si>
    <t>Горошек зелёный</t>
  </si>
  <si>
    <t>54-20з-2020</t>
  </si>
  <si>
    <t>Салат из свежих помидоров и огурцов</t>
  </si>
  <si>
    <t>54-5з-2020</t>
  </si>
  <si>
    <t>Салат витаминный</t>
  </si>
  <si>
    <t>Салат картофельный с зелёным горошком</t>
  </si>
  <si>
    <t>Напиток лимонный</t>
  </si>
  <si>
    <t>Икра свекольная</t>
  </si>
  <si>
    <t>54-15з-2020</t>
  </si>
  <si>
    <t>Рыба, припущенная в молоке (минтай)</t>
  </si>
  <si>
    <t>54-7р-2020</t>
  </si>
  <si>
    <t>Салат из моркови</t>
  </si>
  <si>
    <t>Чай черный байховый сахаром</t>
  </si>
  <si>
    <t>Котлета "Здоровье" с соусом молочным натуральным</t>
  </si>
  <si>
    <t>67; 54-5соус-2020</t>
  </si>
  <si>
    <t>Котлета из курицы с соусом сметанным натуральным</t>
  </si>
  <si>
    <t>54-5м-2020; 54-4соус-2020</t>
  </si>
  <si>
    <t xml:space="preserve">Булочка </t>
  </si>
  <si>
    <t>54-3г-2021</t>
  </si>
  <si>
    <t>54-11г-2019</t>
  </si>
  <si>
    <t>Чай черный байховый с лимонои и сахаром</t>
  </si>
  <si>
    <t>54-19з-2020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</si>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</sst>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rgb="FF000000"/>
      <name val="Calibri"/>
      <family val="2"/>
      <charset val="204"/>
    </font>
    <font>
      <b/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  <font>
      <b/>
      <i/>
      <sz val="14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</font>
    <font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theme="0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7">
    <xf numFmtId="0" fontId="0" fillId="0" borderId="0" xfId="0"/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2" fillId="0" borderId="12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4" fillId="0" borderId="0" xfId="0" applyFont="1"/>
    <xf numFmtId="0" fontId="17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0" fillId="0" borderId="0" xfId="0" applyBorder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7" fillId="0" borderId="6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/>
    </xf>
    <xf numFmtId="0" fontId="17" fillId="0" borderId="12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left"/>
    </xf>
    <xf numFmtId="0" fontId="12" fillId="0" borderId="12" xfId="0" applyNumberFormat="1" applyFont="1" applyFill="1" applyBorder="1" applyAlignment="1" applyProtection="1">
      <alignment vertical="center"/>
    </xf>
    <xf numFmtId="0" fontId="12" fillId="0" borderId="12" xfId="0" applyNumberFormat="1" applyFont="1" applyFill="1" applyBorder="1" applyAlignment="1" applyProtection="1">
      <alignment horizontal="center"/>
    </xf>
    <xf numFmtId="0" fontId="17" fillId="2" borderId="6" xfId="0" applyNumberFormat="1" applyFont="1" applyFill="1" applyBorder="1" applyAlignment="1" applyProtection="1">
      <alignment vertical="center"/>
    </xf>
    <xf numFmtId="0" fontId="12" fillId="2" borderId="6" xfId="0" applyNumberFormat="1" applyFont="1" applyFill="1" applyBorder="1" applyAlignment="1" applyProtection="1">
      <alignment vertical="center"/>
    </xf>
    <xf numFmtId="0" fontId="17" fillId="2" borderId="6" xfId="0" applyNumberFormat="1" applyFont="1" applyFill="1" applyBorder="1" applyAlignment="1" applyProtection="1">
      <alignment horizontal="center"/>
    </xf>
    <xf numFmtId="0" fontId="17" fillId="2" borderId="10" xfId="0" applyNumberFormat="1" applyFont="1" applyFill="1" applyBorder="1" applyAlignment="1" applyProtection="1">
      <alignment horizontal="center"/>
    </xf>
    <xf numFmtId="0" fontId="17" fillId="2" borderId="5" xfId="0" applyNumberFormat="1" applyFont="1" applyFill="1" applyBorder="1" applyAlignment="1" applyProtection="1">
      <alignment horizontal="center"/>
    </xf>
    <xf numFmtId="0" fontId="17" fillId="0" borderId="0" xfId="0" applyFont="1"/>
    <xf numFmtId="0" fontId="2" fillId="0" borderId="0" xfId="0" applyNumberFormat="1" applyFont="1" applyFill="1" applyBorder="1" applyAlignment="1" applyProtection="1"/>
    <xf numFmtId="0" fontId="2" fillId="0" borderId="0" xfId="0" applyFont="1"/>
    <xf numFmtId="0" fontId="17" fillId="0" borderId="6" xfId="0" applyNumberFormat="1" applyFont="1" applyFill="1" applyBorder="1" applyAlignment="1" applyProtection="1">
      <alignment horizontal="center" vertical="center"/>
    </xf>
    <xf numFmtId="2" fontId="17" fillId="0" borderId="6" xfId="0" applyNumberFormat="1" applyFont="1" applyFill="1" applyBorder="1" applyAlignment="1" applyProtection="1">
      <alignment horizontal="center" vertical="center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2" fontId="17" fillId="2" borderId="6" xfId="0" applyNumberFormat="1" applyFont="1" applyFill="1" applyBorder="1" applyAlignment="1" applyProtection="1"/>
    <xf numFmtId="2" fontId="17" fillId="2" borderId="6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6" xfId="0" applyNumberFormat="1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/>
    <xf numFmtId="0" fontId="17" fillId="0" borderId="6" xfId="0" applyFont="1" applyBorder="1" applyAlignment="1">
      <alignment horizontal="center" vertical="center"/>
    </xf>
    <xf numFmtId="0" fontId="17" fillId="2" borderId="6" xfId="0" applyNumberFormat="1" applyFont="1" applyFill="1" applyBorder="1" applyAlignment="1" applyProtection="1">
      <alignment wrapText="1"/>
    </xf>
    <xf numFmtId="0" fontId="17" fillId="2" borderId="6" xfId="0" applyNumberFormat="1" applyFont="1" applyFill="1" applyBorder="1" applyAlignment="1" applyProtection="1">
      <alignment horizontal="center" vertical="center"/>
    </xf>
    <xf numFmtId="0" fontId="17" fillId="2" borderId="6" xfId="0" applyNumberFormat="1" applyFont="1" applyFill="1" applyBorder="1" applyAlignment="1" applyProtection="1">
      <alignment vertical="center" wrapText="1"/>
    </xf>
    <xf numFmtId="2" fontId="17" fillId="2" borderId="6" xfId="0" applyNumberFormat="1" applyFont="1" applyFill="1" applyBorder="1" applyAlignment="1" applyProtection="1">
      <alignment horizontal="center" vertical="center"/>
    </xf>
    <xf numFmtId="0" fontId="17" fillId="2" borderId="6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left"/>
    </xf>
    <xf numFmtId="0" fontId="0" fillId="0" borderId="0" xfId="0" applyFill="1"/>
    <xf numFmtId="0" fontId="22" fillId="0" borderId="0" xfId="0" applyFont="1" applyFill="1" applyBorder="1"/>
    <xf numFmtId="0" fontId="23" fillId="4" borderId="6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" fillId="0" borderId="6" xfId="0" applyFont="1" applyBorder="1"/>
    <xf numFmtId="0" fontId="2" fillId="0" borderId="6" xfId="0" applyFont="1" applyFill="1" applyBorder="1"/>
    <xf numFmtId="0" fontId="2" fillId="0" borderId="6" xfId="0" applyFont="1" applyBorder="1" applyAlignment="1">
      <alignment wrapText="1"/>
    </xf>
    <xf numFmtId="0" fontId="17" fillId="2" borderId="6" xfId="0" applyFont="1" applyFill="1" applyBorder="1" applyAlignment="1">
      <alignment vertical="center" textRotation="90" wrapText="1"/>
    </xf>
    <xf numFmtId="0" fontId="24" fillId="0" borderId="6" xfId="0" applyFont="1" applyBorder="1"/>
    <xf numFmtId="0" fontId="25" fillId="0" borderId="6" xfId="0" applyFont="1" applyBorder="1"/>
    <xf numFmtId="2" fontId="25" fillId="0" borderId="6" xfId="0" applyNumberFormat="1" applyFont="1" applyBorder="1"/>
    <xf numFmtId="0" fontId="26" fillId="0" borderId="6" xfId="0" applyFont="1" applyBorder="1"/>
    <xf numFmtId="0" fontId="17" fillId="0" borderId="6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/>
    </xf>
    <xf numFmtId="2" fontId="27" fillId="0" borderId="0" xfId="0" applyNumberFormat="1" applyFont="1" applyFill="1" applyBorder="1" applyAlignment="1" applyProtection="1"/>
    <xf numFmtId="2" fontId="17" fillId="0" borderId="0" xfId="0" applyNumberFormat="1" applyFont="1" applyFill="1" applyBorder="1" applyAlignment="1" applyProtection="1">
      <alignment horizontal="center"/>
    </xf>
    <xf numFmtId="2" fontId="27" fillId="0" borderId="0" xfId="0" applyNumberFormat="1" applyFont="1" applyBorder="1"/>
    <xf numFmtId="0" fontId="17" fillId="0" borderId="12" xfId="0" applyNumberFormat="1" applyFont="1" applyFill="1" applyBorder="1" applyAlignment="1" applyProtection="1">
      <alignment horizontal="center"/>
    </xf>
    <xf numFmtId="2" fontId="17" fillId="0" borderId="12" xfId="0" applyNumberFormat="1" applyFont="1" applyFill="1" applyBorder="1" applyAlignment="1" applyProtection="1">
      <alignment horizontal="center"/>
    </xf>
    <xf numFmtId="0" fontId="17" fillId="2" borderId="7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2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2" fontId="27" fillId="2" borderId="6" xfId="0" applyNumberFormat="1" applyFont="1" applyFill="1" applyBorder="1"/>
    <xf numFmtId="2" fontId="27" fillId="2" borderId="6" xfId="0" applyNumberFormat="1" applyFont="1" applyFill="1" applyBorder="1" applyAlignment="1" applyProtection="1"/>
    <xf numFmtId="2" fontId="26" fillId="2" borderId="6" xfId="0" applyNumberFormat="1" applyFont="1" applyFill="1" applyBorder="1"/>
    <xf numFmtId="0" fontId="14" fillId="0" borderId="0" xfId="0" applyFont="1" applyBorder="1"/>
    <xf numFmtId="0" fontId="24" fillId="0" borderId="0" xfId="0" applyFont="1"/>
    <xf numFmtId="0" fontId="25" fillId="0" borderId="0" xfId="0" applyFont="1"/>
    <xf numFmtId="0" fontId="24" fillId="0" borderId="0" xfId="0" applyNumberFormat="1" applyFont="1" applyFill="1" applyBorder="1" applyAlignment="1" applyProtection="1"/>
    <xf numFmtId="0" fontId="24" fillId="0" borderId="0" xfId="0" applyFont="1" applyBorder="1"/>
    <xf numFmtId="0" fontId="26" fillId="0" borderId="0" xfId="0" applyNumberFormat="1" applyFont="1" applyFill="1" applyBorder="1" applyAlignment="1" applyProtection="1"/>
    <xf numFmtId="0" fontId="27" fillId="0" borderId="6" xfId="0" applyFont="1" applyBorder="1"/>
    <xf numFmtId="2" fontId="25" fillId="0" borderId="6" xfId="0" applyNumberFormat="1" applyFont="1" applyFill="1" applyBorder="1"/>
    <xf numFmtId="0" fontId="17" fillId="0" borderId="0" xfId="0" applyFont="1" applyFill="1"/>
    <xf numFmtId="0" fontId="17" fillId="0" borderId="6" xfId="0" applyNumberFormat="1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7" fillId="0" borderId="11" xfId="0" applyNumberFormat="1" applyFont="1" applyFill="1" applyBorder="1" applyAlignment="1" applyProtection="1">
      <alignment horizontal="center"/>
    </xf>
    <xf numFmtId="0" fontId="17" fillId="0" borderId="7" xfId="0" applyNumberFormat="1" applyFont="1" applyFill="1" applyBorder="1" applyAlignment="1" applyProtection="1">
      <alignment horizontal="center"/>
    </xf>
    <xf numFmtId="0" fontId="17" fillId="0" borderId="10" xfId="0" applyNumberFormat="1" applyFont="1" applyFill="1" applyBorder="1" applyAlignment="1" applyProtection="1">
      <alignment horizontal="center"/>
    </xf>
    <xf numFmtId="2" fontId="24" fillId="0" borderId="6" xfId="0" applyNumberFormat="1" applyFont="1" applyBorder="1"/>
    <xf numFmtId="2" fontId="25" fillId="0" borderId="6" xfId="0" applyNumberFormat="1" applyFont="1" applyFill="1" applyBorder="1" applyAlignment="1" applyProtection="1"/>
    <xf numFmtId="2" fontId="28" fillId="0" borderId="6" xfId="0" applyNumberFormat="1" applyFont="1" applyBorder="1"/>
    <xf numFmtId="1" fontId="17" fillId="2" borderId="6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2" fontId="17" fillId="2" borderId="1" xfId="0" applyNumberFormat="1" applyFont="1" applyFill="1" applyBorder="1" applyAlignment="1" applyProtection="1"/>
    <xf numFmtId="0" fontId="17" fillId="0" borderId="1" xfId="0" applyFont="1" applyBorder="1" applyAlignment="1">
      <alignment horizontal="center" vertical="center" wrapText="1"/>
    </xf>
    <xf numFmtId="2" fontId="17" fillId="2" borderId="1" xfId="0" applyNumberFormat="1" applyFont="1" applyFill="1" applyBorder="1" applyAlignment="1" applyProtection="1">
      <alignment horizontal="center"/>
    </xf>
    <xf numFmtId="0" fontId="25" fillId="0" borderId="3" xfId="0" applyFont="1" applyBorder="1"/>
    <xf numFmtId="2" fontId="25" fillId="0" borderId="3" xfId="0" applyNumberFormat="1" applyFont="1" applyBorder="1"/>
    <xf numFmtId="2" fontId="25" fillId="0" borderId="3" xfId="0" applyNumberFormat="1" applyFont="1" applyFill="1" applyBorder="1"/>
    <xf numFmtId="2" fontId="26" fillId="2" borderId="3" xfId="0" applyNumberFormat="1" applyFont="1" applyFill="1" applyBorder="1"/>
    <xf numFmtId="0" fontId="0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2" fontId="17" fillId="0" borderId="6" xfId="0" applyNumberFormat="1" applyFont="1" applyFill="1" applyBorder="1" applyAlignment="1" applyProtection="1">
      <alignment horizontal="center"/>
    </xf>
    <xf numFmtId="2" fontId="2" fillId="0" borderId="6" xfId="0" applyNumberFormat="1" applyFont="1" applyFill="1" applyBorder="1" applyAlignment="1" applyProtection="1">
      <alignment horizontal="center"/>
    </xf>
    <xf numFmtId="2" fontId="17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 applyProtection="1">
      <alignment horizontal="center"/>
    </xf>
    <xf numFmtId="2" fontId="17" fillId="0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 applyProtection="1">
      <alignment horizontal="center"/>
    </xf>
    <xf numFmtId="2" fontId="17" fillId="0" borderId="3" xfId="0" applyNumberFormat="1" applyFont="1" applyFill="1" applyBorder="1" applyAlignment="1">
      <alignment horizontal="center"/>
    </xf>
    <xf numFmtId="2" fontId="17" fillId="0" borderId="3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/>
    </xf>
    <xf numFmtId="0" fontId="17" fillId="0" borderId="7" xfId="0" applyNumberFormat="1" applyFont="1" applyFill="1" applyBorder="1" applyAlignment="1" applyProtection="1">
      <alignment horizontal="center"/>
    </xf>
    <xf numFmtId="0" fontId="17" fillId="0" borderId="10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7" fillId="0" borderId="11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6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7" fillId="0" borderId="11" xfId="0" applyNumberFormat="1" applyFont="1" applyFill="1" applyBorder="1" applyAlignment="1" applyProtection="1">
      <alignment horizontal="center"/>
    </xf>
    <xf numFmtId="0" fontId="15" fillId="0" borderId="6" xfId="0" applyNumberFormat="1" applyFont="1" applyFill="1" applyBorder="1" applyAlignment="1" applyProtection="1"/>
    <xf numFmtId="0" fontId="15" fillId="0" borderId="7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15" fillId="0" borderId="8" xfId="0" applyNumberFormat="1" applyFont="1" applyFill="1" applyBorder="1" applyAlignment="1" applyProtection="1">
      <alignment horizontal="center"/>
    </xf>
    <xf numFmtId="0" fontId="15" fillId="0" borderId="5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>
      <alignment horizontal="center"/>
    </xf>
    <xf numFmtId="2" fontId="15" fillId="0" borderId="6" xfId="0" applyNumberFormat="1" applyFont="1" applyFill="1" applyBorder="1" applyAlignment="1" applyProtection="1"/>
    <xf numFmtId="2" fontId="15" fillId="2" borderId="6" xfId="0" applyNumberFormat="1" applyFont="1" applyFill="1" applyBorder="1" applyAlignment="1" applyProtection="1"/>
    <xf numFmtId="2" fontId="17" fillId="0" borderId="6" xfId="0" applyNumberFormat="1" applyFont="1" applyFill="1" applyBorder="1" applyAlignment="1" applyProtection="1"/>
    <xf numFmtId="2" fontId="6" fillId="0" borderId="0" xfId="0" applyNumberFormat="1" applyFont="1" applyFill="1" applyBorder="1" applyAlignment="1" applyProtection="1"/>
    <xf numFmtId="2" fontId="15" fillId="0" borderId="0" xfId="0" applyNumberFormat="1" applyFont="1" applyFill="1" applyBorder="1" applyAlignment="1" applyProtection="1"/>
    <xf numFmtId="0" fontId="7" fillId="0" borderId="15" xfId="0" applyFont="1" applyFill="1" applyBorder="1" applyAlignment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left" indent="1"/>
    </xf>
    <xf numFmtId="0" fontId="15" fillId="0" borderId="8" xfId="0" applyNumberFormat="1" applyFont="1" applyFill="1" applyBorder="1" applyAlignment="1" applyProtection="1">
      <alignment horizontal="left" indent="1"/>
    </xf>
    <xf numFmtId="0" fontId="17" fillId="0" borderId="6" xfId="0" applyNumberFormat="1" applyFont="1" applyFill="1" applyBorder="1" applyAlignment="1" applyProtection="1">
      <alignment horizontal="left" indent="1"/>
    </xf>
    <xf numFmtId="0" fontId="15" fillId="0" borderId="5" xfId="0" applyNumberFormat="1" applyFont="1" applyFill="1" applyBorder="1" applyAlignment="1" applyProtection="1">
      <alignment horizontal="left" indent="1"/>
    </xf>
    <xf numFmtId="0" fontId="7" fillId="0" borderId="3" xfId="0" applyFont="1" applyFill="1" applyBorder="1" applyAlignment="1">
      <alignment horizontal="left" indent="1"/>
    </xf>
    <xf numFmtId="0" fontId="27" fillId="0" borderId="6" xfId="0" applyFont="1" applyBorder="1" applyAlignment="1">
      <alignment horizontal="left" indent="1"/>
    </xf>
    <xf numFmtId="2" fontId="17" fillId="0" borderId="6" xfId="0" applyNumberFormat="1" applyFont="1" applyFill="1" applyBorder="1" applyAlignment="1" applyProtection="1">
      <alignment horizontal="left" vertical="center" indent="1"/>
    </xf>
    <xf numFmtId="0" fontId="17" fillId="0" borderId="1" xfId="0" applyNumberFormat="1" applyFont="1" applyFill="1" applyBorder="1" applyAlignment="1" applyProtection="1">
      <alignment horizontal="left" vertical="center" wrapText="1" indent="1"/>
    </xf>
    <xf numFmtId="2" fontId="15" fillId="0" borderId="6" xfId="0" applyNumberFormat="1" applyFont="1" applyFill="1" applyBorder="1" applyAlignment="1" applyProtection="1">
      <alignment horizontal="left" indent="1"/>
    </xf>
    <xf numFmtId="0" fontId="15" fillId="0" borderId="6" xfId="0" applyNumberFormat="1" applyFont="1" applyFill="1" applyBorder="1" applyAlignment="1" applyProtection="1">
      <alignment horizontal="left" indent="1"/>
    </xf>
    <xf numFmtId="2" fontId="2" fillId="0" borderId="6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vertical="center" wrapText="1" indent="1"/>
    </xf>
    <xf numFmtId="2" fontId="2" fillId="0" borderId="6" xfId="0" applyNumberFormat="1" applyFont="1" applyFill="1" applyBorder="1" applyAlignment="1" applyProtection="1">
      <alignment horizontal="left" indent="1"/>
    </xf>
    <xf numFmtId="0" fontId="2" fillId="0" borderId="6" xfId="0" applyNumberFormat="1" applyFont="1" applyFill="1" applyBorder="1" applyAlignment="1" applyProtection="1">
      <alignment horizontal="left" indent="1"/>
    </xf>
    <xf numFmtId="0" fontId="17" fillId="2" borderId="6" xfId="0" applyNumberFormat="1" applyFont="1" applyFill="1" applyBorder="1" applyAlignment="1" applyProtection="1">
      <alignment horizontal="left" indent="1"/>
    </xf>
    <xf numFmtId="2" fontId="17" fillId="2" borderId="6" xfId="0" applyNumberFormat="1" applyFont="1" applyFill="1" applyBorder="1" applyAlignment="1" applyProtection="1">
      <alignment horizontal="left" indent="1"/>
    </xf>
    <xf numFmtId="0" fontId="17" fillId="2" borderId="1" xfId="0" applyNumberFormat="1" applyFont="1" applyFill="1" applyBorder="1" applyAlignment="1" applyProtection="1">
      <alignment horizontal="left" indent="1"/>
    </xf>
    <xf numFmtId="2" fontId="15" fillId="2" borderId="6" xfId="0" applyNumberFormat="1" applyFont="1" applyFill="1" applyBorder="1" applyAlignment="1" applyProtection="1">
      <alignment horizontal="left" indent="1"/>
    </xf>
    <xf numFmtId="2" fontId="27" fillId="2" borderId="6" xfId="0" applyNumberFormat="1" applyFont="1" applyFill="1" applyBorder="1" applyAlignment="1">
      <alignment horizontal="left" indent="1"/>
    </xf>
    <xf numFmtId="0" fontId="17" fillId="0" borderId="6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center"/>
    </xf>
    <xf numFmtId="2" fontId="27" fillId="0" borderId="0" xfId="0" applyNumberFormat="1" applyFont="1" applyFill="1" applyBorder="1"/>
    <xf numFmtId="0" fontId="17" fillId="0" borderId="12" xfId="0" applyNumberFormat="1" applyFont="1" applyFill="1" applyBorder="1" applyAlignment="1" applyProtection="1">
      <alignment vertical="center"/>
    </xf>
    <xf numFmtId="0" fontId="17" fillId="2" borderId="7" xfId="0" applyNumberFormat="1" applyFont="1" applyFill="1" applyBorder="1" applyAlignment="1" applyProtection="1">
      <alignment vertical="center"/>
    </xf>
    <xf numFmtId="2" fontId="17" fillId="0" borderId="7" xfId="0" applyNumberFormat="1" applyFont="1" applyFill="1" applyBorder="1" applyAlignment="1" applyProtection="1">
      <alignment horizontal="center"/>
    </xf>
    <xf numFmtId="0" fontId="17" fillId="0" borderId="0" xfId="0" applyFont="1" applyFill="1" applyBorder="1"/>
    <xf numFmtId="0" fontId="17" fillId="0" borderId="6" xfId="0" applyNumberFormat="1" applyFont="1" applyFill="1" applyBorder="1" applyAlignment="1" applyProtection="1">
      <alignment horizontal="center"/>
    </xf>
    <xf numFmtId="0" fontId="14" fillId="0" borderId="0" xfId="0" applyFont="1" applyFill="1"/>
    <xf numFmtId="0" fontId="17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 wrapText="1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0" applyFont="1"/>
    <xf numFmtId="0" fontId="31" fillId="0" borderId="0" xfId="0" applyNumberFormat="1" applyFont="1" applyFill="1" applyBorder="1" applyAlignment="1" applyProtection="1"/>
    <xf numFmtId="0" fontId="31" fillId="0" borderId="0" xfId="0" applyFont="1" applyFill="1"/>
    <xf numFmtId="0" fontId="29" fillId="0" borderId="0" xfId="0" applyFont="1"/>
    <xf numFmtId="0" fontId="17" fillId="0" borderId="0" xfId="0" applyNumberFormat="1" applyFont="1" applyFill="1" applyBorder="1" applyAlignment="1" applyProtection="1">
      <alignment horizontal="center"/>
    </xf>
    <xf numFmtId="2" fontId="17" fillId="0" borderId="3" xfId="0" applyNumberFormat="1" applyFont="1" applyBorder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29" fillId="0" borderId="0" xfId="0" applyFont="1" applyFill="1"/>
    <xf numFmtId="0" fontId="17" fillId="0" borderId="14" xfId="0" applyNumberFormat="1" applyFont="1" applyFill="1" applyBorder="1" applyAlignment="1" applyProtection="1">
      <alignment horizontal="center" vertical="center" textRotation="90" wrapText="1"/>
    </xf>
    <xf numFmtId="0" fontId="7" fillId="0" borderId="13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center" vertical="center"/>
    </xf>
    <xf numFmtId="2" fontId="30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2" fontId="32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2" fontId="29" fillId="0" borderId="0" xfId="0" applyNumberFormat="1" applyFont="1" applyBorder="1"/>
    <xf numFmtId="0" fontId="31" fillId="0" borderId="0" xfId="0" applyFont="1" applyBorder="1"/>
    <xf numFmtId="2" fontId="25" fillId="0" borderId="6" xfId="0" applyNumberFormat="1" applyFont="1" applyBorder="1" applyAlignment="1"/>
    <xf numFmtId="2" fontId="24" fillId="0" borderId="6" xfId="0" applyNumberFormat="1" applyFont="1" applyBorder="1" applyAlignment="1"/>
    <xf numFmtId="0" fontId="17" fillId="0" borderId="0" xfId="0" applyNumberFormat="1" applyFont="1" applyFill="1" applyBorder="1" applyAlignment="1" applyProtection="1">
      <alignment horizontal="center"/>
    </xf>
    <xf numFmtId="2" fontId="15" fillId="0" borderId="6" xfId="0" applyNumberFormat="1" applyFont="1" applyFill="1" applyBorder="1" applyAlignment="1" applyProtection="1">
      <alignment horizontal="right"/>
    </xf>
    <xf numFmtId="0" fontId="15" fillId="0" borderId="6" xfId="0" applyNumberFormat="1" applyFont="1" applyFill="1" applyBorder="1" applyAlignment="1" applyProtection="1">
      <alignment horizontal="right"/>
    </xf>
    <xf numFmtId="2" fontId="25" fillId="0" borderId="6" xfId="0" applyNumberFormat="1" applyFont="1" applyBorder="1" applyAlignment="1">
      <alignment horizontal="right"/>
    </xf>
    <xf numFmtId="0" fontId="30" fillId="0" borderId="0" xfId="0" applyNumberFormat="1" applyFont="1" applyFill="1" applyBorder="1" applyAlignment="1" applyProtection="1">
      <alignment wrapText="1"/>
    </xf>
    <xf numFmtId="2" fontId="15" fillId="0" borderId="6" xfId="0" applyNumberFormat="1" applyFont="1" applyBorder="1" applyAlignment="1">
      <alignment horizontal="left" indent="1"/>
    </xf>
    <xf numFmtId="0" fontId="15" fillId="0" borderId="6" xfId="0" applyFont="1" applyBorder="1" applyAlignment="1">
      <alignment horizontal="left" indent="1"/>
    </xf>
    <xf numFmtId="2" fontId="25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0" fillId="0" borderId="13" xfId="0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Alignment="1" applyProtection="1">
      <alignment horizontal="center" wrapText="1"/>
    </xf>
    <xf numFmtId="0" fontId="20" fillId="0" borderId="15" xfId="0" applyNumberFormat="1" applyFont="1" applyFill="1" applyBorder="1" applyAlignment="1" applyProtection="1">
      <alignment horizontal="center" wrapText="1"/>
    </xf>
    <xf numFmtId="0" fontId="20" fillId="0" borderId="5" xfId="0" applyNumberFormat="1" applyFont="1" applyFill="1" applyBorder="1" applyAlignment="1" applyProtection="1">
      <alignment horizontal="center" wrapText="1"/>
    </xf>
    <xf numFmtId="0" fontId="20" fillId="0" borderId="4" xfId="0" applyNumberFormat="1" applyFont="1" applyFill="1" applyBorder="1" applyAlignment="1" applyProtection="1">
      <alignment horizontal="center" wrapText="1"/>
    </xf>
    <xf numFmtId="0" fontId="20" fillId="0" borderId="11" xfId="0" applyNumberFormat="1" applyFont="1" applyFill="1" applyBorder="1" applyAlignment="1" applyProtection="1">
      <alignment horizontal="center" wrapText="1"/>
    </xf>
    <xf numFmtId="0" fontId="7" fillId="3" borderId="1" xfId="0" applyNumberFormat="1" applyFont="1" applyFill="1" applyBorder="1" applyAlignment="1" applyProtection="1">
      <alignment horizontal="center"/>
    </xf>
    <xf numFmtId="0" fontId="7" fillId="3" borderId="2" xfId="0" applyNumberFormat="1" applyFont="1" applyFill="1" applyBorder="1" applyAlignment="1" applyProtection="1">
      <alignment horizontal="center"/>
    </xf>
    <xf numFmtId="0" fontId="7" fillId="3" borderId="3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7" fillId="0" borderId="6" xfId="0" applyNumberFormat="1" applyFont="1" applyFill="1" applyBorder="1" applyAlignment="1" applyProtection="1">
      <alignment horizontal="center"/>
    </xf>
    <xf numFmtId="0" fontId="17" fillId="0" borderId="7" xfId="0" applyNumberFormat="1" applyFont="1" applyFill="1" applyBorder="1" applyAlignment="1" applyProtection="1">
      <alignment horizontal="center" wrapText="1"/>
    </xf>
    <xf numFmtId="0" fontId="17" fillId="0" borderId="10" xfId="0" applyNumberFormat="1" applyFont="1" applyFill="1" applyBorder="1" applyAlignment="1" applyProtection="1">
      <alignment horizontal="center" wrapText="1"/>
    </xf>
    <xf numFmtId="0" fontId="17" fillId="0" borderId="1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0" fontId="17" fillId="0" borderId="7" xfId="0" applyNumberFormat="1" applyFont="1" applyFill="1" applyBorder="1" applyAlignment="1" applyProtection="1">
      <alignment horizontal="center"/>
    </xf>
    <xf numFmtId="0" fontId="17" fillId="0" borderId="10" xfId="0" applyNumberFormat="1" applyFont="1" applyFill="1" applyBorder="1" applyAlignment="1" applyProtection="1">
      <alignment horizontal="center"/>
    </xf>
    <xf numFmtId="0" fontId="17" fillId="0" borderId="8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7" fillId="0" borderId="5" xfId="0" applyNumberFormat="1" applyFont="1" applyFill="1" applyBorder="1" applyAlignment="1" applyProtection="1">
      <alignment horizontal="center"/>
    </xf>
    <xf numFmtId="0" fontId="17" fillId="0" borderId="11" xfId="0" applyNumberFormat="1" applyFont="1" applyFill="1" applyBorder="1" applyAlignment="1" applyProtection="1">
      <alignment horizontal="center"/>
    </xf>
    <xf numFmtId="0" fontId="17" fillId="2" borderId="1" xfId="0" applyNumberFormat="1" applyFont="1" applyFill="1" applyBorder="1" applyAlignment="1" applyProtection="1">
      <alignment horizontal="left"/>
    </xf>
    <xf numFmtId="0" fontId="17" fillId="2" borderId="3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17" fillId="0" borderId="14" xfId="0" applyNumberFormat="1" applyFont="1" applyFill="1" applyBorder="1" applyAlignment="1" applyProtection="1">
      <alignment horizontal="center" vertical="center" textRotation="90" wrapText="1"/>
    </xf>
    <xf numFmtId="0" fontId="17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7" xfId="0" applyNumberFormat="1" applyFont="1" applyFill="1" applyBorder="1" applyAlignment="1" applyProtection="1">
      <alignment horizontal="center" vertical="center" textRotation="90" wrapText="1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4" xfId="0" applyNumberFormat="1" applyFont="1" applyFill="1" applyBorder="1" applyAlignment="1" applyProtection="1">
      <alignment horizontal="center"/>
    </xf>
    <xf numFmtId="0" fontId="20" fillId="0" borderId="8" xfId="0" applyNumberFormat="1" applyFont="1" applyFill="1" applyBorder="1" applyAlignment="1" applyProtection="1">
      <alignment horizontal="center" wrapText="1"/>
    </xf>
    <xf numFmtId="0" fontId="20" fillId="0" borderId="12" xfId="0" applyNumberFormat="1" applyFont="1" applyFill="1" applyBorder="1" applyAlignment="1" applyProtection="1">
      <alignment horizontal="center" wrapText="1"/>
    </xf>
    <xf numFmtId="0" fontId="20" fillId="0" borderId="9" xfId="0" applyNumberFormat="1" applyFont="1" applyFill="1" applyBorder="1" applyAlignment="1" applyProtection="1">
      <alignment horizontal="center" wrapText="1"/>
    </xf>
    <xf numFmtId="0" fontId="17" fillId="0" borderId="6" xfId="0" applyNumberFormat="1" applyFont="1" applyFill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19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10" xfId="0" applyFont="1" applyBorder="1" applyAlignment="1">
      <alignment horizontal="center" vertical="center" textRotation="90" wrapText="1"/>
    </xf>
    <xf numFmtId="0" fontId="17" fillId="0" borderId="6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3" xfId="0" applyNumberFormat="1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2" borderId="6" xfId="0" applyNumberFormat="1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7" fillId="3" borderId="6" xfId="0" applyNumberFormat="1" applyFont="1" applyFill="1" applyBorder="1" applyAlignment="1" applyProtection="1">
      <alignment horizontal="center"/>
    </xf>
    <xf numFmtId="0" fontId="17" fillId="0" borderId="6" xfId="0" applyNumberFormat="1" applyFont="1" applyFill="1" applyBorder="1" applyAlignment="1" applyProtection="1">
      <alignment horizontal="center" vertical="center" textRotation="90" wrapText="1"/>
    </xf>
    <xf numFmtId="0" fontId="17" fillId="0" borderId="6" xfId="0" applyNumberFormat="1" applyFont="1" applyFill="1" applyBorder="1" applyAlignment="1" applyProtection="1">
      <alignment horizontal="center" wrapText="1"/>
    </xf>
    <xf numFmtId="0" fontId="17" fillId="2" borderId="7" xfId="0" applyNumberFormat="1" applyFont="1" applyFill="1" applyBorder="1" applyAlignment="1" applyProtection="1">
      <alignment horizontal="left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17" fillId="0" borderId="3" xfId="0" applyNumberFormat="1" applyFont="1" applyFill="1" applyBorder="1" applyAlignment="1" applyProtection="1">
      <alignment horizontal="center"/>
    </xf>
    <xf numFmtId="0" fontId="15" fillId="0" borderId="7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7" fillId="2" borderId="6" xfId="0" applyNumberFormat="1" applyFont="1" applyFill="1" applyBorder="1" applyAlignment="1" applyProtection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indent="1"/>
    </xf>
    <xf numFmtId="0" fontId="25" fillId="0" borderId="6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6" fillId="0" borderId="6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/>
    </xf>
    <xf numFmtId="0" fontId="17" fillId="2" borderId="1" xfId="0" applyNumberFormat="1" applyFont="1" applyFill="1" applyBorder="1" applyAlignment="1" applyProtection="1">
      <alignment horizontal="left" indent="1"/>
    </xf>
    <xf numFmtId="0" fontId="17" fillId="2" borderId="3" xfId="0" applyNumberFormat="1" applyFont="1" applyFill="1" applyBorder="1" applyAlignment="1" applyProtection="1">
      <alignment horizontal="left" indent="1"/>
    </xf>
    <xf numFmtId="0" fontId="17" fillId="0" borderId="1" xfId="0" applyNumberFormat="1" applyFont="1" applyFill="1" applyBorder="1" applyAlignment="1" applyProtection="1">
      <alignment horizontal="left" indent="1"/>
    </xf>
    <xf numFmtId="0" fontId="17" fillId="0" borderId="7" xfId="0" applyNumberFormat="1" applyFont="1" applyFill="1" applyBorder="1" applyAlignment="1" applyProtection="1">
      <alignment horizontal="left" indent="1"/>
    </xf>
    <xf numFmtId="0" fontId="17" fillId="0" borderId="10" xfId="0" applyNumberFormat="1" applyFont="1" applyFill="1" applyBorder="1" applyAlignment="1" applyProtection="1">
      <alignment horizontal="left" indent="1"/>
    </xf>
    <xf numFmtId="0" fontId="17" fillId="0" borderId="8" xfId="0" applyNumberFormat="1" applyFont="1" applyFill="1" applyBorder="1" applyAlignment="1" applyProtection="1">
      <alignment horizontal="left" indent="1"/>
    </xf>
    <xf numFmtId="0" fontId="17" fillId="0" borderId="9" xfId="0" applyNumberFormat="1" applyFont="1" applyFill="1" applyBorder="1" applyAlignment="1" applyProtection="1">
      <alignment horizontal="left" indent="1"/>
    </xf>
    <xf numFmtId="0" fontId="17" fillId="0" borderId="5" xfId="0" applyNumberFormat="1" applyFont="1" applyFill="1" applyBorder="1" applyAlignment="1" applyProtection="1">
      <alignment horizontal="left" indent="1"/>
    </xf>
    <xf numFmtId="0" fontId="17" fillId="0" borderId="11" xfId="0" applyNumberFormat="1" applyFont="1" applyFill="1" applyBorder="1" applyAlignment="1" applyProtection="1">
      <alignment horizontal="left" indent="1"/>
    </xf>
    <xf numFmtId="0" fontId="17" fillId="0" borderId="2" xfId="0" applyNumberFormat="1" applyFont="1" applyFill="1" applyBorder="1" applyAlignment="1" applyProtection="1">
      <alignment horizontal="left" indent="1"/>
    </xf>
    <xf numFmtId="0" fontId="17" fillId="0" borderId="3" xfId="0" applyNumberFormat="1" applyFont="1" applyFill="1" applyBorder="1" applyAlignment="1" applyProtection="1">
      <alignment horizontal="left" indent="1"/>
    </xf>
    <xf numFmtId="0" fontId="17" fillId="0" borderId="7" xfId="0" applyNumberFormat="1" applyFont="1" applyFill="1" applyBorder="1" applyAlignment="1" applyProtection="1">
      <alignment horizontal="left" wrapText="1" indent="1"/>
    </xf>
    <xf numFmtId="0" fontId="17" fillId="0" borderId="10" xfId="0" applyNumberFormat="1" applyFont="1" applyFill="1" applyBorder="1" applyAlignment="1" applyProtection="1">
      <alignment horizontal="left" wrapText="1" indent="1"/>
    </xf>
    <xf numFmtId="0" fontId="17" fillId="0" borderId="6" xfId="0" applyNumberFormat="1" applyFont="1" applyFill="1" applyBorder="1" applyAlignment="1" applyProtection="1">
      <alignment horizontal="left" indent="1"/>
    </xf>
    <xf numFmtId="0" fontId="15" fillId="0" borderId="7" xfId="0" applyNumberFormat="1" applyFont="1" applyFill="1" applyBorder="1" applyAlignment="1" applyProtection="1">
      <alignment horizontal="left" indent="1"/>
    </xf>
    <xf numFmtId="0" fontId="15" fillId="0" borderId="10" xfId="0" applyNumberFormat="1" applyFont="1" applyFill="1" applyBorder="1" applyAlignment="1" applyProtection="1">
      <alignment horizontal="left" indent="1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" xfId="0" applyNumberFormat="1" applyFont="1" applyFill="1" applyBorder="1" applyAlignment="1" applyProtection="1">
      <alignment vertical="center" wrapText="1"/>
    </xf>
    <xf numFmtId="0" fontId="17" fillId="0" borderId="3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0" borderId="7" xfId="0" applyNumberFormat="1" applyFont="1" applyFill="1" applyBorder="1" applyAlignment="1" applyProtection="1">
      <alignment horizontal="center" vertical="center" textRotation="90"/>
    </xf>
    <xf numFmtId="0" fontId="17" fillId="0" borderId="14" xfId="0" applyNumberFormat="1" applyFont="1" applyFill="1" applyBorder="1" applyAlignment="1" applyProtection="1">
      <alignment horizontal="center" vertical="center" textRotation="90"/>
    </xf>
    <xf numFmtId="0" fontId="17" fillId="0" borderId="10" xfId="0" applyNumberFormat="1" applyFont="1" applyFill="1" applyBorder="1" applyAlignment="1" applyProtection="1">
      <alignment horizontal="center" vertical="center" textRotation="90"/>
    </xf>
    <xf numFmtId="0" fontId="16" fillId="2" borderId="6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15" fillId="0" borderId="6" xfId="0" applyNumberFormat="1" applyFont="1" applyFill="1" applyBorder="1" applyAlignment="1" applyProtection="1">
      <alignment horizontal="center"/>
    </xf>
    <xf numFmtId="0" fontId="16" fillId="0" borderId="6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16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156"/>
  <sheetViews>
    <sheetView topLeftCell="A139" zoomScale="90" zoomScaleNormal="90" workbookViewId="0">
      <selection activeCell="C144" sqref="C144:D144"/>
    </sheetView>
  </sheetViews>
  <sheetFormatPr defaultColWidth="9.109375" defaultRowHeight="22.05" customHeight="1" x14ac:dyDescent="0.3"/>
  <cols>
    <col min="1" max="1" width="7.109375" style="1" customWidth="1"/>
    <col min="2" max="2" width="11" style="4" customWidth="1"/>
    <col min="3" max="3" width="9.109375" style="1" customWidth="1"/>
    <col min="4" max="4" width="42.44140625" style="1" customWidth="1"/>
    <col min="5" max="5" width="9.109375" style="1" customWidth="1"/>
    <col min="6" max="6" width="9" style="1" customWidth="1"/>
    <col min="7" max="7" width="9.44140625" style="1" customWidth="1"/>
    <col min="8" max="8" width="12.5546875" style="1" customWidth="1"/>
    <col min="9" max="9" width="12" style="1" customWidth="1"/>
    <col min="10" max="10" width="16.5546875" style="1" customWidth="1"/>
    <col min="11" max="11" width="11.6640625" style="143" hidden="1" customWidth="1"/>
    <col min="12" max="12" width="2.109375" style="143" customWidth="1"/>
    <col min="13" max="14" width="6.77734375" customWidth="1"/>
    <col min="15" max="15" width="8" customWidth="1"/>
    <col min="16" max="17" width="6.77734375" customWidth="1"/>
    <col min="18" max="18" width="8.21875" customWidth="1"/>
    <col min="19" max="19" width="8.33203125" customWidth="1"/>
    <col min="20" max="20" width="7.6640625" customWidth="1"/>
    <col min="21" max="21" width="7.44140625" customWidth="1"/>
    <col min="22" max="22" width="7.6640625" customWidth="1"/>
    <col min="23" max="25" width="6.77734375" customWidth="1"/>
    <col min="26" max="27" width="9.109375" customWidth="1"/>
  </cols>
  <sheetData>
    <row r="1" spans="2:28" ht="22.05" customHeight="1" x14ac:dyDescent="0.3">
      <c r="B1" s="265" t="s">
        <v>105</v>
      </c>
      <c r="C1" s="265"/>
      <c r="D1" s="265"/>
      <c r="E1" s="265"/>
      <c r="F1" s="265"/>
      <c r="G1" s="265"/>
      <c r="H1" s="265"/>
      <c r="I1" s="265"/>
      <c r="J1" s="265"/>
    </row>
    <row r="2" spans="2:28" ht="16.2" customHeight="1" x14ac:dyDescent="0.3">
      <c r="B2" s="275" t="s">
        <v>98</v>
      </c>
      <c r="C2" s="275"/>
      <c r="D2" s="275"/>
      <c r="E2" s="275"/>
      <c r="F2" s="275"/>
      <c r="G2" s="275"/>
      <c r="H2" s="275"/>
      <c r="I2" s="275"/>
      <c r="J2" s="275"/>
    </row>
    <row r="3" spans="2:28" ht="13.8" customHeight="1" x14ac:dyDescent="0.3">
      <c r="B3" s="276" t="s">
        <v>99</v>
      </c>
      <c r="C3" s="276"/>
      <c r="D3" s="276"/>
      <c r="E3" s="276"/>
      <c r="F3" s="276"/>
      <c r="G3" s="276"/>
      <c r="H3" s="276"/>
      <c r="I3" s="276"/>
      <c r="J3" s="276"/>
    </row>
    <row r="4" spans="2:28" ht="22.05" customHeight="1" x14ac:dyDescent="0.3">
      <c r="B4" s="34"/>
      <c r="C4" s="34"/>
      <c r="D4" s="34"/>
      <c r="E4" s="34"/>
      <c r="F4" s="34"/>
      <c r="G4" s="34"/>
      <c r="H4" s="34"/>
      <c r="I4" s="34"/>
      <c r="J4" s="34"/>
    </row>
    <row r="5" spans="2:28" ht="22.05" customHeight="1" x14ac:dyDescent="0.3">
      <c r="B5" s="34"/>
      <c r="C5" s="34"/>
      <c r="D5" s="34"/>
      <c r="E5" s="34"/>
      <c r="F5" s="34"/>
      <c r="G5" s="65"/>
      <c r="H5" s="266" t="s">
        <v>106</v>
      </c>
      <c r="I5" s="266"/>
      <c r="J5" s="266"/>
    </row>
    <row r="6" spans="2:28" ht="22.05" customHeight="1" x14ac:dyDescent="0.3">
      <c r="B6" s="34"/>
      <c r="C6" s="34"/>
      <c r="D6" s="34"/>
      <c r="E6" s="34"/>
      <c r="F6" s="34"/>
      <c r="G6" s="266" t="s">
        <v>188</v>
      </c>
      <c r="H6" s="266"/>
      <c r="I6" s="266"/>
      <c r="J6" s="266"/>
    </row>
    <row r="7" spans="2:28" ht="22.05" customHeight="1" x14ac:dyDescent="0.3">
      <c r="B7" s="34"/>
      <c r="C7" s="34"/>
      <c r="D7" s="34"/>
      <c r="E7" s="34"/>
      <c r="F7" s="34"/>
      <c r="G7" s="266" t="s">
        <v>186</v>
      </c>
      <c r="H7" s="266"/>
      <c r="I7" s="266"/>
      <c r="J7" s="266"/>
    </row>
    <row r="8" spans="2:28" ht="22.05" customHeight="1" x14ac:dyDescent="0.3">
      <c r="B8" s="33"/>
      <c r="C8" s="33"/>
      <c r="D8" s="33"/>
      <c r="E8" s="33"/>
      <c r="F8" s="33"/>
      <c r="G8" s="267" t="s">
        <v>189</v>
      </c>
      <c r="H8" s="267"/>
      <c r="I8" s="267"/>
      <c r="J8" s="267"/>
    </row>
    <row r="9" spans="2:28" ht="22.05" customHeight="1" x14ac:dyDescent="0.3">
      <c r="B9" s="33"/>
      <c r="C9" s="33"/>
      <c r="D9" s="33"/>
      <c r="E9" s="33"/>
      <c r="F9" s="33"/>
      <c r="G9" s="33"/>
      <c r="H9" s="33"/>
      <c r="I9" s="33"/>
      <c r="J9" s="33"/>
    </row>
    <row r="10" spans="2:28" ht="22.05" customHeight="1" x14ac:dyDescent="0.45">
      <c r="B10" s="32"/>
      <c r="C10" s="32"/>
      <c r="D10" s="32"/>
      <c r="E10" s="32"/>
      <c r="F10" s="32"/>
      <c r="G10" s="32"/>
      <c r="H10" s="32"/>
      <c r="I10" s="32"/>
      <c r="J10" s="26"/>
      <c r="K10" s="207" t="s">
        <v>169</v>
      </c>
      <c r="L10" s="207"/>
      <c r="M10" s="208">
        <v>0.123</v>
      </c>
      <c r="N10" s="208">
        <v>7.5999999999999998E-2</v>
      </c>
      <c r="O10" s="208">
        <v>0</v>
      </c>
      <c r="P10" s="208">
        <v>1.68</v>
      </c>
      <c r="Q10" s="208">
        <v>0.06</v>
      </c>
      <c r="R10" s="208">
        <v>141.9</v>
      </c>
      <c r="S10" s="208">
        <v>37.5</v>
      </c>
      <c r="T10" s="208">
        <v>1.47</v>
      </c>
      <c r="U10" s="208">
        <v>12.3</v>
      </c>
      <c r="V10" s="208">
        <v>38.700000000000003</v>
      </c>
      <c r="W10" s="208">
        <v>1.08</v>
      </c>
      <c r="X10" s="208">
        <v>0</v>
      </c>
      <c r="Y10" s="208">
        <v>8.64</v>
      </c>
      <c r="Z10" s="208"/>
      <c r="AA10" s="208"/>
      <c r="AB10" s="208"/>
    </row>
    <row r="11" spans="2:28" ht="22.05" customHeight="1" x14ac:dyDescent="0.45">
      <c r="B11" s="32"/>
      <c r="C11" s="32"/>
      <c r="D11" s="32"/>
      <c r="E11" s="32"/>
      <c r="F11" s="32"/>
      <c r="G11" s="32"/>
      <c r="H11" s="32"/>
      <c r="I11" s="32"/>
      <c r="J11" s="26"/>
      <c r="K11" s="207" t="s">
        <v>170</v>
      </c>
      <c r="L11" s="207"/>
      <c r="M11" s="208">
        <v>0.13</v>
      </c>
      <c r="N11" s="208">
        <v>0.1</v>
      </c>
      <c r="O11" s="208">
        <v>0</v>
      </c>
      <c r="P11" s="208">
        <v>1.1399999999999999</v>
      </c>
      <c r="Q11" s="208">
        <v>0.12</v>
      </c>
      <c r="R11" s="208">
        <v>180.9</v>
      </c>
      <c r="S11" s="208">
        <v>21.9</v>
      </c>
      <c r="T11" s="208">
        <v>0.36</v>
      </c>
      <c r="U11" s="208">
        <v>12</v>
      </c>
      <c r="V11" s="208">
        <v>37.5</v>
      </c>
      <c r="W11" s="208">
        <v>0.85</v>
      </c>
      <c r="X11" s="208">
        <v>0</v>
      </c>
      <c r="Y11" s="208">
        <v>9.27</v>
      </c>
      <c r="Z11" s="208"/>
      <c r="AA11" s="208"/>
      <c r="AB11" s="208"/>
    </row>
    <row r="12" spans="2:28" ht="22.05" customHeight="1" x14ac:dyDescent="0.4">
      <c r="B12" s="277" t="s">
        <v>100</v>
      </c>
      <c r="C12" s="278"/>
      <c r="D12" s="278"/>
      <c r="E12" s="278"/>
      <c r="F12" s="278"/>
      <c r="G12" s="278"/>
      <c r="H12" s="278"/>
      <c r="I12" s="278"/>
      <c r="J12" s="279"/>
      <c r="K12" s="144"/>
      <c r="L12" s="144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2:28" ht="22.05" customHeight="1" x14ac:dyDescent="0.4">
      <c r="B13" s="239" t="s">
        <v>96</v>
      </c>
      <c r="C13" s="240"/>
      <c r="D13" s="240"/>
      <c r="E13" s="240"/>
      <c r="F13" s="240"/>
      <c r="G13" s="240"/>
      <c r="H13" s="240"/>
      <c r="I13" s="240"/>
      <c r="J13" s="241"/>
    </row>
    <row r="14" spans="2:28" ht="22.05" customHeight="1" x14ac:dyDescent="0.4">
      <c r="B14" s="239" t="s">
        <v>97</v>
      </c>
      <c r="C14" s="240"/>
      <c r="D14" s="240"/>
      <c r="E14" s="240"/>
      <c r="F14" s="240"/>
      <c r="G14" s="240"/>
      <c r="H14" s="240"/>
      <c r="I14" s="240"/>
      <c r="J14" s="241"/>
    </row>
    <row r="15" spans="2:28" ht="22.05" customHeight="1" x14ac:dyDescent="0.4">
      <c r="B15" s="242" t="s">
        <v>160</v>
      </c>
      <c r="C15" s="243"/>
      <c r="D15" s="243"/>
      <c r="E15" s="243"/>
      <c r="F15" s="243"/>
      <c r="G15" s="243"/>
      <c r="H15" s="243"/>
      <c r="I15" s="243"/>
      <c r="J15" s="244"/>
    </row>
    <row r="16" spans="2:28" ht="22.05" customHeight="1" x14ac:dyDescent="0.3">
      <c r="B16" s="2"/>
      <c r="C16" s="2"/>
      <c r="D16" s="3"/>
      <c r="E16" s="206" t="s">
        <v>182</v>
      </c>
      <c r="F16" s="206">
        <v>7.6</v>
      </c>
      <c r="G16" s="206">
        <v>0.9</v>
      </c>
      <c r="H16" s="206">
        <v>49.7</v>
      </c>
      <c r="I16" s="206">
        <v>226</v>
      </c>
      <c r="J16" s="17"/>
    </row>
    <row r="17" spans="1:25" s="19" customFormat="1" ht="22.05" customHeight="1" x14ac:dyDescent="0.3">
      <c r="A17" s="17"/>
      <c r="B17" s="271"/>
      <c r="C17" s="271"/>
      <c r="D17" s="271"/>
      <c r="E17" s="206" t="s">
        <v>183</v>
      </c>
      <c r="F17" s="206">
        <v>4.7</v>
      </c>
      <c r="G17" s="206">
        <v>0.7</v>
      </c>
      <c r="H17" s="206">
        <v>49.8</v>
      </c>
      <c r="I17" s="206">
        <v>214</v>
      </c>
      <c r="J17" s="21"/>
      <c r="K17" s="144"/>
      <c r="L17" s="144"/>
    </row>
    <row r="18" spans="1:25" s="48" customFormat="1" ht="22.05" customHeight="1" x14ac:dyDescent="0.3">
      <c r="A18" s="20"/>
      <c r="B18" s="252" t="s">
        <v>60</v>
      </c>
      <c r="C18" s="252"/>
      <c r="D18" s="252"/>
      <c r="E18" s="252"/>
      <c r="F18" s="252"/>
      <c r="G18" s="252"/>
      <c r="H18" s="252"/>
      <c r="I18" s="252"/>
      <c r="J18" s="252"/>
      <c r="K18" s="252"/>
      <c r="L18" s="124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</row>
    <row r="19" spans="1:25" s="48" customFormat="1" ht="22.05" customHeight="1" x14ac:dyDescent="0.3">
      <c r="A19" s="20"/>
      <c r="B19" s="253" t="s">
        <v>73</v>
      </c>
      <c r="C19" s="259" t="s">
        <v>1</v>
      </c>
      <c r="D19" s="260"/>
      <c r="E19" s="253" t="s">
        <v>74</v>
      </c>
      <c r="F19" s="255" t="s">
        <v>3</v>
      </c>
      <c r="G19" s="256"/>
      <c r="H19" s="256"/>
      <c r="I19" s="253" t="s">
        <v>145</v>
      </c>
      <c r="J19" s="252" t="s">
        <v>75</v>
      </c>
      <c r="K19" s="257" t="s">
        <v>185</v>
      </c>
      <c r="L19" s="127"/>
      <c r="M19" s="237" t="s">
        <v>159</v>
      </c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</row>
    <row r="20" spans="1:25" s="48" customFormat="1" ht="41.4" customHeight="1" x14ac:dyDescent="0.3">
      <c r="A20" s="20"/>
      <c r="B20" s="254"/>
      <c r="C20" s="261"/>
      <c r="D20" s="262"/>
      <c r="E20" s="254"/>
      <c r="F20" s="35" t="s">
        <v>142</v>
      </c>
      <c r="G20" s="35" t="s">
        <v>143</v>
      </c>
      <c r="H20" s="35" t="s">
        <v>144</v>
      </c>
      <c r="I20" s="254"/>
      <c r="J20" s="252"/>
      <c r="K20" s="258"/>
      <c r="L20" s="128"/>
      <c r="M20" s="238" t="s">
        <v>88</v>
      </c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</row>
    <row r="21" spans="1:25" s="50" customFormat="1" ht="22.05" customHeight="1" x14ac:dyDescent="0.3">
      <c r="A21" s="14"/>
      <c r="B21" s="245" t="s">
        <v>88</v>
      </c>
      <c r="C21" s="246"/>
      <c r="D21" s="246"/>
      <c r="E21" s="246"/>
      <c r="F21" s="246"/>
      <c r="G21" s="246"/>
      <c r="H21" s="246"/>
      <c r="I21" s="246"/>
      <c r="J21" s="246"/>
      <c r="K21" s="247"/>
      <c r="L21" s="153"/>
      <c r="M21" s="88" t="s">
        <v>146</v>
      </c>
      <c r="N21" s="88" t="s">
        <v>147</v>
      </c>
      <c r="O21" s="88" t="s">
        <v>148</v>
      </c>
      <c r="P21" s="88" t="s">
        <v>150</v>
      </c>
      <c r="Q21" s="88" t="s">
        <v>149</v>
      </c>
      <c r="R21" s="88" t="s">
        <v>151</v>
      </c>
      <c r="S21" s="88" t="s">
        <v>152</v>
      </c>
      <c r="T21" s="88" t="s">
        <v>153</v>
      </c>
      <c r="U21" s="88" t="s">
        <v>154</v>
      </c>
      <c r="V21" s="88" t="s">
        <v>155</v>
      </c>
      <c r="W21" s="88" t="s">
        <v>156</v>
      </c>
      <c r="X21" s="88" t="s">
        <v>157</v>
      </c>
      <c r="Y21" s="88" t="s">
        <v>158</v>
      </c>
    </row>
    <row r="22" spans="1:25" s="48" customFormat="1" ht="22.05" customHeight="1" x14ac:dyDescent="0.3">
      <c r="A22" s="20"/>
      <c r="B22" s="268" t="s">
        <v>4</v>
      </c>
      <c r="C22" s="248" t="s">
        <v>72</v>
      </c>
      <c r="D22" s="249"/>
      <c r="E22" s="51">
        <v>60</v>
      </c>
      <c r="F22" s="52">
        <v>0.4</v>
      </c>
      <c r="G22" s="52">
        <v>0</v>
      </c>
      <c r="H22" s="52">
        <v>2.5</v>
      </c>
      <c r="I22" s="52">
        <v>11.5</v>
      </c>
      <c r="J22" s="53" t="s">
        <v>203</v>
      </c>
      <c r="K22" s="145">
        <v>23.74</v>
      </c>
      <c r="L22" s="145"/>
      <c r="M22" s="87">
        <v>0.04</v>
      </c>
      <c r="N22" s="87">
        <v>0.02</v>
      </c>
      <c r="O22" s="87">
        <v>80</v>
      </c>
      <c r="P22" s="87">
        <v>0.32</v>
      </c>
      <c r="Q22" s="87">
        <v>15</v>
      </c>
      <c r="R22" s="87">
        <v>24</v>
      </c>
      <c r="S22" s="87">
        <v>174</v>
      </c>
      <c r="T22" s="87">
        <v>8</v>
      </c>
      <c r="U22" s="87">
        <v>12</v>
      </c>
      <c r="V22" s="87">
        <v>16</v>
      </c>
      <c r="W22" s="87">
        <v>1</v>
      </c>
      <c r="X22" s="87">
        <v>1.2</v>
      </c>
      <c r="Y22" s="87">
        <v>0</v>
      </c>
    </row>
    <row r="23" spans="1:25" s="48" customFormat="1" ht="22.05" customHeight="1" x14ac:dyDescent="0.3">
      <c r="A23" s="20"/>
      <c r="B23" s="268"/>
      <c r="C23" s="248" t="s">
        <v>37</v>
      </c>
      <c r="D23" s="249"/>
      <c r="E23" s="51">
        <v>150</v>
      </c>
      <c r="F23" s="52">
        <v>7.7</v>
      </c>
      <c r="G23" s="52">
        <v>7.1</v>
      </c>
      <c r="H23" s="52">
        <v>30.6</v>
      </c>
      <c r="I23" s="52">
        <v>216.5</v>
      </c>
      <c r="J23" s="53" t="s">
        <v>43</v>
      </c>
      <c r="K23" s="145">
        <v>18.46</v>
      </c>
      <c r="L23" s="145"/>
      <c r="M23" s="87">
        <v>0.05</v>
      </c>
      <c r="N23" s="87">
        <v>7.0000000000000007E-2</v>
      </c>
      <c r="O23" s="87">
        <v>35</v>
      </c>
      <c r="P23" s="87">
        <v>0.05</v>
      </c>
      <c r="Q23" s="87">
        <v>0</v>
      </c>
      <c r="R23" s="87">
        <v>340</v>
      </c>
      <c r="S23" s="87">
        <v>22</v>
      </c>
      <c r="T23" s="87">
        <v>184</v>
      </c>
      <c r="U23" s="87">
        <v>12</v>
      </c>
      <c r="V23" s="87">
        <v>106</v>
      </c>
      <c r="W23" s="87">
        <v>0</v>
      </c>
      <c r="X23" s="87">
        <v>20</v>
      </c>
      <c r="Y23" s="87">
        <v>0</v>
      </c>
    </row>
    <row r="24" spans="1:25" s="48" customFormat="1" ht="22.05" customHeight="1" x14ac:dyDescent="0.3">
      <c r="A24" s="20"/>
      <c r="B24" s="268"/>
      <c r="C24" s="248" t="s">
        <v>114</v>
      </c>
      <c r="D24" s="249"/>
      <c r="E24" s="51">
        <v>30</v>
      </c>
      <c r="F24" s="52">
        <f>F16/100*30</f>
        <v>2.2799999999999998</v>
      </c>
      <c r="G24" s="52">
        <f t="shared" ref="G24:I24" si="0">G16/100*30</f>
        <v>0.27</v>
      </c>
      <c r="H24" s="52">
        <f t="shared" si="0"/>
        <v>14.910000000000002</v>
      </c>
      <c r="I24" s="52">
        <f t="shared" si="0"/>
        <v>67.8</v>
      </c>
      <c r="J24" s="51" t="s">
        <v>63</v>
      </c>
      <c r="K24" s="145">
        <v>2.73</v>
      </c>
      <c r="L24" s="145"/>
      <c r="M24" s="87">
        <f>M10</f>
        <v>0.123</v>
      </c>
      <c r="N24" s="87">
        <f t="shared" ref="N24:Y24" si="1">N10</f>
        <v>7.5999999999999998E-2</v>
      </c>
      <c r="O24" s="87">
        <f t="shared" si="1"/>
        <v>0</v>
      </c>
      <c r="P24" s="87">
        <f t="shared" si="1"/>
        <v>1.68</v>
      </c>
      <c r="Q24" s="87">
        <f t="shared" si="1"/>
        <v>0.06</v>
      </c>
      <c r="R24" s="87">
        <f t="shared" si="1"/>
        <v>141.9</v>
      </c>
      <c r="S24" s="87">
        <f t="shared" si="1"/>
        <v>37.5</v>
      </c>
      <c r="T24" s="87">
        <f t="shared" si="1"/>
        <v>1.47</v>
      </c>
      <c r="U24" s="87">
        <f t="shared" si="1"/>
        <v>12.3</v>
      </c>
      <c r="V24" s="87">
        <f t="shared" si="1"/>
        <v>38.700000000000003</v>
      </c>
      <c r="W24" s="87">
        <f t="shared" si="1"/>
        <v>1.08</v>
      </c>
      <c r="X24" s="87">
        <f t="shared" si="1"/>
        <v>0</v>
      </c>
      <c r="Y24" s="87">
        <f t="shared" si="1"/>
        <v>8.64</v>
      </c>
    </row>
    <row r="25" spans="1:25" s="48" customFormat="1" ht="22.05" customHeight="1" x14ac:dyDescent="0.3">
      <c r="A25" s="20"/>
      <c r="B25" s="268"/>
      <c r="C25" s="248" t="s">
        <v>118</v>
      </c>
      <c r="D25" s="249"/>
      <c r="E25" s="51">
        <v>28</v>
      </c>
      <c r="F25" s="52">
        <f>F17/100*28</f>
        <v>1.3160000000000001</v>
      </c>
      <c r="G25" s="52">
        <f t="shared" ref="G25:I25" si="2">G17/100*28</f>
        <v>0.19599999999999998</v>
      </c>
      <c r="H25" s="52">
        <f t="shared" si="2"/>
        <v>13.943999999999999</v>
      </c>
      <c r="I25" s="52">
        <f t="shared" si="2"/>
        <v>59.92</v>
      </c>
      <c r="J25" s="51" t="s">
        <v>63</v>
      </c>
      <c r="K25" s="145">
        <v>2.5499999999999998</v>
      </c>
      <c r="L25" s="145"/>
      <c r="M25" s="87">
        <f>M11/30*28</f>
        <v>0.12133333333333332</v>
      </c>
      <c r="N25" s="87">
        <f t="shared" ref="N25:Y25" si="3">N11/30*28</f>
        <v>9.3333333333333338E-2</v>
      </c>
      <c r="O25" s="87">
        <f t="shared" si="3"/>
        <v>0</v>
      </c>
      <c r="P25" s="87">
        <f t="shared" si="3"/>
        <v>1.0640000000000001</v>
      </c>
      <c r="Q25" s="87">
        <f t="shared" si="3"/>
        <v>0.112</v>
      </c>
      <c r="R25" s="87">
        <f t="shared" si="3"/>
        <v>168.84</v>
      </c>
      <c r="S25" s="87">
        <f t="shared" si="3"/>
        <v>20.439999999999998</v>
      </c>
      <c r="T25" s="87">
        <f t="shared" si="3"/>
        <v>0.33600000000000002</v>
      </c>
      <c r="U25" s="87">
        <f t="shared" si="3"/>
        <v>11.200000000000001</v>
      </c>
      <c r="V25" s="87">
        <f t="shared" si="3"/>
        <v>35</v>
      </c>
      <c r="W25" s="87">
        <f t="shared" si="3"/>
        <v>0.79333333333333333</v>
      </c>
      <c r="X25" s="87">
        <f t="shared" si="3"/>
        <v>0</v>
      </c>
      <c r="Y25" s="87">
        <f t="shared" si="3"/>
        <v>8.6519999999999992</v>
      </c>
    </row>
    <row r="26" spans="1:25" s="48" customFormat="1" ht="22.05" customHeight="1" x14ac:dyDescent="0.3">
      <c r="A26" s="20"/>
      <c r="B26" s="268"/>
      <c r="C26" s="248" t="s">
        <v>190</v>
      </c>
      <c r="D26" s="249"/>
      <c r="E26" s="51">
        <v>200</v>
      </c>
      <c r="F26" s="52">
        <v>4.5999999999999996</v>
      </c>
      <c r="G26" s="52">
        <v>4.3</v>
      </c>
      <c r="H26" s="52">
        <v>12.4</v>
      </c>
      <c r="I26" s="52">
        <v>106.7</v>
      </c>
      <c r="J26" s="53" t="s">
        <v>191</v>
      </c>
      <c r="K26" s="145">
        <v>18.52</v>
      </c>
      <c r="L26" s="145"/>
      <c r="M26" s="87">
        <v>0</v>
      </c>
      <c r="N26" s="87">
        <v>0.2</v>
      </c>
      <c r="O26" s="87">
        <v>15.6</v>
      </c>
      <c r="P26" s="87">
        <v>0.2</v>
      </c>
      <c r="Q26" s="87">
        <v>1</v>
      </c>
      <c r="R26" s="87">
        <v>66</v>
      </c>
      <c r="S26" s="87">
        <v>265</v>
      </c>
      <c r="T26" s="87">
        <v>34</v>
      </c>
      <c r="U26" s="87">
        <v>34</v>
      </c>
      <c r="V26" s="87">
        <v>131</v>
      </c>
      <c r="W26" s="87">
        <v>1</v>
      </c>
      <c r="X26" s="87">
        <v>11.7</v>
      </c>
      <c r="Y26" s="87">
        <v>2.2999999999999998</v>
      </c>
    </row>
    <row r="27" spans="1:25" s="50" customFormat="1" ht="22.05" customHeight="1" x14ac:dyDescent="0.3">
      <c r="A27" s="49"/>
      <c r="B27" s="269"/>
      <c r="C27" s="273" t="s">
        <v>44</v>
      </c>
      <c r="D27" s="274"/>
      <c r="E27" s="54">
        <v>200</v>
      </c>
      <c r="F27" s="55">
        <v>0.41</v>
      </c>
      <c r="G27" s="55">
        <v>0</v>
      </c>
      <c r="H27" s="55">
        <v>22.59</v>
      </c>
      <c r="I27" s="55">
        <v>92</v>
      </c>
      <c r="J27" s="56" t="s">
        <v>63</v>
      </c>
      <c r="K27" s="146">
        <v>36</v>
      </c>
      <c r="L27" s="146"/>
      <c r="M27" s="129">
        <v>0.02</v>
      </c>
      <c r="N27" s="129">
        <v>0.02</v>
      </c>
      <c r="O27" s="129">
        <v>0</v>
      </c>
      <c r="P27" s="129">
        <v>0.04</v>
      </c>
      <c r="Q27" s="129">
        <v>4</v>
      </c>
      <c r="R27" s="129">
        <v>12</v>
      </c>
      <c r="S27" s="129">
        <v>240</v>
      </c>
      <c r="T27" s="129">
        <v>14</v>
      </c>
      <c r="U27" s="129">
        <v>8</v>
      </c>
      <c r="V27" s="129">
        <v>14</v>
      </c>
      <c r="W27" s="129">
        <v>2.8</v>
      </c>
      <c r="X27" s="129">
        <v>2</v>
      </c>
      <c r="Y27" s="129">
        <v>0</v>
      </c>
    </row>
    <row r="28" spans="1:25" s="48" customFormat="1" ht="22.05" customHeight="1" x14ac:dyDescent="0.3">
      <c r="A28" s="20"/>
      <c r="B28" s="43"/>
      <c r="C28" s="263" t="s">
        <v>108</v>
      </c>
      <c r="D28" s="264"/>
      <c r="E28" s="45">
        <f>SUM(E22:E27)</f>
        <v>668</v>
      </c>
      <c r="F28" s="58">
        <f t="shared" ref="F28:I28" si="4">SUM(F22:F27)</f>
        <v>16.706</v>
      </c>
      <c r="G28" s="58">
        <f t="shared" si="4"/>
        <v>11.866</v>
      </c>
      <c r="H28" s="58">
        <f t="shared" si="4"/>
        <v>96.944000000000017</v>
      </c>
      <c r="I28" s="58">
        <f t="shared" si="4"/>
        <v>554.42000000000007</v>
      </c>
      <c r="J28" s="57"/>
      <c r="K28" s="58">
        <f>SUM(K22:K27)</f>
        <v>102</v>
      </c>
      <c r="L28" s="145"/>
      <c r="M28" s="109">
        <f>SUM(M22:M27)</f>
        <v>0.35433333333333333</v>
      </c>
      <c r="N28" s="109">
        <f t="shared" ref="N28:Y28" si="5">SUM(N22:N27)</f>
        <v>0.47933333333333339</v>
      </c>
      <c r="O28" s="109">
        <f t="shared" si="5"/>
        <v>130.6</v>
      </c>
      <c r="P28" s="109">
        <f t="shared" si="5"/>
        <v>3.3540000000000001</v>
      </c>
      <c r="Q28" s="109">
        <f t="shared" si="5"/>
        <v>20.172000000000001</v>
      </c>
      <c r="R28" s="109">
        <f t="shared" si="5"/>
        <v>752.74</v>
      </c>
      <c r="S28" s="109">
        <f t="shared" si="5"/>
        <v>758.94</v>
      </c>
      <c r="T28" s="109">
        <f t="shared" si="5"/>
        <v>241.80600000000001</v>
      </c>
      <c r="U28" s="109">
        <f t="shared" si="5"/>
        <v>89.5</v>
      </c>
      <c r="V28" s="109">
        <f t="shared" si="5"/>
        <v>340.7</v>
      </c>
      <c r="W28" s="109">
        <f t="shared" si="5"/>
        <v>6.6733333333333338</v>
      </c>
      <c r="X28" s="109">
        <f t="shared" si="5"/>
        <v>34.9</v>
      </c>
      <c r="Y28" s="109">
        <f t="shared" si="5"/>
        <v>19.592000000000002</v>
      </c>
    </row>
    <row r="29" spans="1:25" s="50" customFormat="1" ht="22.05" customHeight="1" x14ac:dyDescent="0.3">
      <c r="A29" s="14"/>
      <c r="B29" s="36"/>
      <c r="C29" s="31"/>
      <c r="D29" s="31"/>
      <c r="E29" s="14"/>
      <c r="F29" s="37"/>
      <c r="G29" s="37"/>
      <c r="H29" s="37"/>
      <c r="I29" s="37"/>
      <c r="J29" s="14"/>
      <c r="K29" s="65"/>
      <c r="L29" s="65"/>
    </row>
    <row r="30" spans="1:25" s="50" customFormat="1" ht="22.05" customHeight="1" x14ac:dyDescent="0.3">
      <c r="A30" s="14"/>
      <c r="B30" s="36"/>
      <c r="C30" s="272"/>
      <c r="D30" s="272"/>
      <c r="E30" s="37"/>
      <c r="F30" s="37"/>
      <c r="G30" s="37"/>
      <c r="H30" s="37"/>
      <c r="I30" s="37"/>
      <c r="J30" s="14"/>
      <c r="K30" s="65"/>
      <c r="L30" s="65"/>
    </row>
    <row r="31" spans="1:25" s="48" customFormat="1" ht="22.05" customHeight="1" x14ac:dyDescent="0.3">
      <c r="A31" s="20"/>
      <c r="B31" s="252" t="s">
        <v>60</v>
      </c>
      <c r="C31" s="252"/>
      <c r="D31" s="252"/>
      <c r="E31" s="252"/>
      <c r="F31" s="252"/>
      <c r="G31" s="252"/>
      <c r="H31" s="252"/>
      <c r="I31" s="252"/>
      <c r="J31" s="252"/>
      <c r="K31" s="252"/>
      <c r="L31" s="124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</row>
    <row r="32" spans="1:25" s="48" customFormat="1" ht="22.05" customHeight="1" x14ac:dyDescent="0.3">
      <c r="A32" s="20"/>
      <c r="B32" s="253" t="s">
        <v>73</v>
      </c>
      <c r="C32" s="259" t="s">
        <v>1</v>
      </c>
      <c r="D32" s="260"/>
      <c r="E32" s="253" t="s">
        <v>74</v>
      </c>
      <c r="F32" s="255" t="s">
        <v>3</v>
      </c>
      <c r="G32" s="256"/>
      <c r="H32" s="256"/>
      <c r="I32" s="253" t="s">
        <v>145</v>
      </c>
      <c r="J32" s="255" t="s">
        <v>75</v>
      </c>
      <c r="K32" s="257" t="s">
        <v>185</v>
      </c>
      <c r="L32" s="127"/>
      <c r="M32" s="237" t="s">
        <v>159</v>
      </c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</row>
    <row r="33" spans="1:25" s="48" customFormat="1" ht="37.799999999999997" customHeight="1" x14ac:dyDescent="0.3">
      <c r="A33" s="20"/>
      <c r="B33" s="254"/>
      <c r="C33" s="261"/>
      <c r="D33" s="262"/>
      <c r="E33" s="254"/>
      <c r="F33" s="35" t="s">
        <v>142</v>
      </c>
      <c r="G33" s="35" t="s">
        <v>143</v>
      </c>
      <c r="H33" s="35" t="s">
        <v>144</v>
      </c>
      <c r="I33" s="254"/>
      <c r="J33" s="255"/>
      <c r="K33" s="258"/>
      <c r="L33" s="128"/>
      <c r="M33" s="238" t="s">
        <v>76</v>
      </c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</row>
    <row r="34" spans="1:25" s="50" customFormat="1" ht="22.05" customHeight="1" x14ac:dyDescent="0.3">
      <c r="A34" s="14"/>
      <c r="B34" s="245" t="s">
        <v>76</v>
      </c>
      <c r="C34" s="246"/>
      <c r="D34" s="246"/>
      <c r="E34" s="246"/>
      <c r="F34" s="246"/>
      <c r="G34" s="246"/>
      <c r="H34" s="246"/>
      <c r="I34" s="246"/>
      <c r="J34" s="246"/>
      <c r="K34" s="247"/>
      <c r="L34" s="153"/>
      <c r="M34" s="88" t="s">
        <v>146</v>
      </c>
      <c r="N34" s="88" t="s">
        <v>147</v>
      </c>
      <c r="O34" s="88" t="s">
        <v>148</v>
      </c>
      <c r="P34" s="88" t="s">
        <v>150</v>
      </c>
      <c r="Q34" s="88" t="s">
        <v>149</v>
      </c>
      <c r="R34" s="88" t="s">
        <v>151</v>
      </c>
      <c r="S34" s="88" t="s">
        <v>152</v>
      </c>
      <c r="T34" s="88" t="s">
        <v>153</v>
      </c>
      <c r="U34" s="88" t="s">
        <v>154</v>
      </c>
      <c r="V34" s="88" t="s">
        <v>155</v>
      </c>
      <c r="W34" s="88" t="s">
        <v>156</v>
      </c>
      <c r="X34" s="88" t="s">
        <v>157</v>
      </c>
      <c r="Y34" s="88" t="s">
        <v>158</v>
      </c>
    </row>
    <row r="35" spans="1:25" s="20" customFormat="1" ht="22.05" customHeight="1" x14ac:dyDescent="0.3">
      <c r="B35" s="270" t="s">
        <v>4</v>
      </c>
      <c r="C35" s="248" t="s">
        <v>204</v>
      </c>
      <c r="D35" s="249"/>
      <c r="E35" s="51">
        <v>60</v>
      </c>
      <c r="F35" s="52">
        <v>1.8</v>
      </c>
      <c r="G35" s="52">
        <v>0.2</v>
      </c>
      <c r="H35" s="52">
        <v>3.6</v>
      </c>
      <c r="I35" s="52">
        <v>22.2</v>
      </c>
      <c r="J35" s="134" t="s">
        <v>205</v>
      </c>
      <c r="K35" s="145">
        <v>27.88</v>
      </c>
      <c r="L35" s="145"/>
      <c r="M35" s="130">
        <v>0.04</v>
      </c>
      <c r="N35" s="130">
        <v>7.0000000000000007E-2</v>
      </c>
      <c r="O35" s="130">
        <v>1.8</v>
      </c>
      <c r="P35" s="130">
        <v>1</v>
      </c>
      <c r="Q35" s="130">
        <v>2.8</v>
      </c>
      <c r="R35" s="130">
        <v>439.2</v>
      </c>
      <c r="S35" s="130">
        <v>162.69999999999999</v>
      </c>
      <c r="T35" s="130">
        <v>53.3</v>
      </c>
      <c r="U35" s="130">
        <v>16.2</v>
      </c>
      <c r="V35" s="130">
        <v>51.5</v>
      </c>
      <c r="W35" s="130">
        <v>0.5</v>
      </c>
      <c r="X35" s="130">
        <v>0</v>
      </c>
      <c r="Y35" s="130">
        <v>0.7</v>
      </c>
    </row>
    <row r="36" spans="1:25" s="120" customFormat="1" ht="22.05" customHeight="1" x14ac:dyDescent="0.3">
      <c r="A36" s="20"/>
      <c r="B36" s="268"/>
      <c r="C36" s="248" t="s">
        <v>10</v>
      </c>
      <c r="D36" s="249"/>
      <c r="E36" s="51">
        <v>180</v>
      </c>
      <c r="F36" s="52">
        <v>8.4</v>
      </c>
      <c r="G36" s="52">
        <v>6.7</v>
      </c>
      <c r="H36" s="52">
        <v>44.1</v>
      </c>
      <c r="I36" s="52">
        <v>270.39999999999998</v>
      </c>
      <c r="J36" s="134" t="s">
        <v>65</v>
      </c>
      <c r="K36" s="145">
        <v>13.39</v>
      </c>
      <c r="L36" s="145"/>
      <c r="M36" s="119">
        <v>0.3</v>
      </c>
      <c r="N36" s="119">
        <v>0.1</v>
      </c>
      <c r="O36" s="119">
        <v>33</v>
      </c>
      <c r="P36" s="119">
        <v>4.8</v>
      </c>
      <c r="Q36" s="119">
        <v>0</v>
      </c>
      <c r="R36" s="119">
        <v>178.8</v>
      </c>
      <c r="S36" s="119">
        <v>262.8</v>
      </c>
      <c r="T36" s="119">
        <v>16.8</v>
      </c>
      <c r="U36" s="119">
        <v>144</v>
      </c>
      <c r="V36" s="119">
        <v>216</v>
      </c>
      <c r="W36" s="119">
        <v>4.8</v>
      </c>
      <c r="X36" s="119">
        <v>26.8</v>
      </c>
      <c r="Y36" s="119">
        <v>4.2</v>
      </c>
    </row>
    <row r="37" spans="1:25" s="48" customFormat="1" ht="22.05" customHeight="1" x14ac:dyDescent="0.3">
      <c r="A37" s="20"/>
      <c r="B37" s="268"/>
      <c r="C37" s="248" t="s">
        <v>161</v>
      </c>
      <c r="D37" s="249"/>
      <c r="E37" s="51">
        <v>90</v>
      </c>
      <c r="F37" s="52">
        <v>12.7</v>
      </c>
      <c r="G37" s="52">
        <v>5.7</v>
      </c>
      <c r="H37" s="52">
        <v>4</v>
      </c>
      <c r="I37" s="52">
        <v>118.2</v>
      </c>
      <c r="J37" s="134" t="s">
        <v>168</v>
      </c>
      <c r="K37" s="145">
        <v>35.85</v>
      </c>
      <c r="L37" s="145"/>
      <c r="M37" s="87">
        <v>0.04</v>
      </c>
      <c r="N37" s="87">
        <v>0.05</v>
      </c>
      <c r="O37" s="87">
        <v>261.89999999999998</v>
      </c>
      <c r="P37" s="87">
        <v>3.56</v>
      </c>
      <c r="Q37" s="87">
        <v>1.2</v>
      </c>
      <c r="R37" s="87">
        <v>223.2</v>
      </c>
      <c r="S37" s="87">
        <v>187.2</v>
      </c>
      <c r="T37" s="87">
        <v>19.8</v>
      </c>
      <c r="U37" s="87">
        <v>48.6</v>
      </c>
      <c r="V37" s="87">
        <v>100.8</v>
      </c>
      <c r="W37" s="87">
        <v>0.9</v>
      </c>
      <c r="X37" s="87">
        <v>31.5</v>
      </c>
      <c r="Y37" s="87">
        <v>10.8</v>
      </c>
    </row>
    <row r="38" spans="1:25" s="48" customFormat="1" ht="22.05" customHeight="1" x14ac:dyDescent="0.3">
      <c r="A38" s="20"/>
      <c r="B38" s="268"/>
      <c r="C38" s="248" t="s">
        <v>114</v>
      </c>
      <c r="D38" s="249"/>
      <c r="E38" s="51">
        <v>46</v>
      </c>
      <c r="F38" s="52">
        <v>2.5</v>
      </c>
      <c r="G38" s="52">
        <v>0.3</v>
      </c>
      <c r="H38" s="52">
        <v>16.3</v>
      </c>
      <c r="I38" s="52">
        <v>73.959999999999994</v>
      </c>
      <c r="J38" s="135" t="s">
        <v>63</v>
      </c>
      <c r="K38" s="145">
        <v>4.18</v>
      </c>
      <c r="L38" s="145"/>
      <c r="M38" s="87">
        <f>M10/30*46</f>
        <v>0.18860000000000002</v>
      </c>
      <c r="N38" s="87">
        <f t="shared" ref="N38:Y38" si="6">N10/30*46</f>
        <v>0.11653333333333332</v>
      </c>
      <c r="O38" s="87">
        <f t="shared" si="6"/>
        <v>0</v>
      </c>
      <c r="P38" s="87">
        <f t="shared" si="6"/>
        <v>2.5760000000000001</v>
      </c>
      <c r="Q38" s="87">
        <f t="shared" si="6"/>
        <v>9.1999999999999998E-2</v>
      </c>
      <c r="R38" s="87">
        <f t="shared" si="6"/>
        <v>217.58</v>
      </c>
      <c r="S38" s="87">
        <f t="shared" si="6"/>
        <v>57.5</v>
      </c>
      <c r="T38" s="87">
        <f t="shared" si="6"/>
        <v>2.254</v>
      </c>
      <c r="U38" s="87">
        <f t="shared" si="6"/>
        <v>18.860000000000003</v>
      </c>
      <c r="V38" s="87">
        <f t="shared" si="6"/>
        <v>59.34</v>
      </c>
      <c r="W38" s="87">
        <f t="shared" si="6"/>
        <v>1.6560000000000001</v>
      </c>
      <c r="X38" s="87">
        <f t="shared" si="6"/>
        <v>0</v>
      </c>
      <c r="Y38" s="87">
        <f t="shared" si="6"/>
        <v>13.248000000000001</v>
      </c>
    </row>
    <row r="39" spans="1:25" s="48" customFormat="1" ht="22.05" customHeight="1" x14ac:dyDescent="0.3">
      <c r="A39" s="20"/>
      <c r="B39" s="268"/>
      <c r="C39" s="248" t="s">
        <v>118</v>
      </c>
      <c r="D39" s="249"/>
      <c r="E39" s="51">
        <v>30</v>
      </c>
      <c r="F39" s="52">
        <v>1.1299999999999999</v>
      </c>
      <c r="G39" s="52">
        <v>0.17</v>
      </c>
      <c r="H39" s="52">
        <v>12</v>
      </c>
      <c r="I39" s="52">
        <v>51.2</v>
      </c>
      <c r="J39" s="135" t="s">
        <v>63</v>
      </c>
      <c r="K39" s="145">
        <v>2.73</v>
      </c>
      <c r="L39" s="145"/>
      <c r="M39" s="87">
        <f t="shared" ref="M39:Y39" si="7">M11</f>
        <v>0.13</v>
      </c>
      <c r="N39" s="87">
        <f t="shared" si="7"/>
        <v>0.1</v>
      </c>
      <c r="O39" s="87">
        <f t="shared" si="7"/>
        <v>0</v>
      </c>
      <c r="P39" s="87">
        <f t="shared" si="7"/>
        <v>1.1399999999999999</v>
      </c>
      <c r="Q39" s="87">
        <f t="shared" si="7"/>
        <v>0.12</v>
      </c>
      <c r="R39" s="87">
        <f t="shared" si="7"/>
        <v>180.9</v>
      </c>
      <c r="S39" s="87">
        <f t="shared" si="7"/>
        <v>21.9</v>
      </c>
      <c r="T39" s="87">
        <f t="shared" si="7"/>
        <v>0.36</v>
      </c>
      <c r="U39" s="87">
        <f t="shared" si="7"/>
        <v>12</v>
      </c>
      <c r="V39" s="87">
        <f t="shared" si="7"/>
        <v>37.5</v>
      </c>
      <c r="W39" s="87">
        <f t="shared" si="7"/>
        <v>0.85</v>
      </c>
      <c r="X39" s="87">
        <f t="shared" si="7"/>
        <v>0</v>
      </c>
      <c r="Y39" s="87">
        <f t="shared" si="7"/>
        <v>9.27</v>
      </c>
    </row>
    <row r="40" spans="1:25" s="48" customFormat="1" ht="22.05" customHeight="1" x14ac:dyDescent="0.3">
      <c r="A40" s="20"/>
      <c r="B40" s="269"/>
      <c r="C40" s="248" t="s">
        <v>162</v>
      </c>
      <c r="D40" s="249"/>
      <c r="E40" s="51">
        <v>200</v>
      </c>
      <c r="F40" s="52">
        <v>0.2</v>
      </c>
      <c r="G40" s="52">
        <v>0.1</v>
      </c>
      <c r="H40" s="52">
        <v>12.5</v>
      </c>
      <c r="I40" s="52">
        <v>51.5</v>
      </c>
      <c r="J40" s="134" t="s">
        <v>163</v>
      </c>
      <c r="K40" s="145">
        <v>17.97</v>
      </c>
      <c r="L40" s="145"/>
      <c r="M40" s="87">
        <v>0.02</v>
      </c>
      <c r="N40" s="87">
        <v>0</v>
      </c>
      <c r="O40" s="87">
        <v>0.2</v>
      </c>
      <c r="P40" s="87">
        <v>0.1</v>
      </c>
      <c r="Q40" s="87">
        <v>1</v>
      </c>
      <c r="R40" s="87">
        <v>2</v>
      </c>
      <c r="S40" s="87">
        <v>23</v>
      </c>
      <c r="T40" s="87">
        <v>7</v>
      </c>
      <c r="U40" s="87">
        <v>1</v>
      </c>
      <c r="V40" s="87">
        <v>7</v>
      </c>
      <c r="W40" s="87">
        <v>0</v>
      </c>
      <c r="X40" s="87">
        <v>0</v>
      </c>
      <c r="Y40" s="87">
        <v>0</v>
      </c>
    </row>
    <row r="41" spans="1:25" s="48" customFormat="1" ht="22.05" customHeight="1" x14ac:dyDescent="0.3">
      <c r="A41" s="20"/>
      <c r="B41" s="43"/>
      <c r="C41" s="263" t="s">
        <v>108</v>
      </c>
      <c r="D41" s="264"/>
      <c r="E41" s="45">
        <f>SUM(E35:E40)</f>
        <v>606</v>
      </c>
      <c r="F41" s="58">
        <f>SUM(F35:F40)</f>
        <v>26.729999999999997</v>
      </c>
      <c r="G41" s="58">
        <f>SUM(G35:G40)</f>
        <v>13.170000000000002</v>
      </c>
      <c r="H41" s="58">
        <f>SUM(H35:H40)</f>
        <v>92.5</v>
      </c>
      <c r="I41" s="58">
        <f>SUM(I35:I40)</f>
        <v>587.45999999999992</v>
      </c>
      <c r="J41" s="136"/>
      <c r="K41" s="58">
        <f>SUM(K35:K40)</f>
        <v>102.00000000000001</v>
      </c>
      <c r="L41" s="145"/>
      <c r="M41" s="109">
        <f>SUM(M35:M40)</f>
        <v>0.71860000000000002</v>
      </c>
      <c r="N41" s="109">
        <f t="shared" ref="N41:Y41" si="8">SUM(N35:N40)</f>
        <v>0.43653333333333333</v>
      </c>
      <c r="O41" s="109">
        <f t="shared" si="8"/>
        <v>296.89999999999998</v>
      </c>
      <c r="P41" s="109">
        <f t="shared" si="8"/>
        <v>13.176</v>
      </c>
      <c r="Q41" s="109">
        <f t="shared" si="8"/>
        <v>5.2119999999999997</v>
      </c>
      <c r="R41" s="109">
        <f t="shared" si="8"/>
        <v>1241.68</v>
      </c>
      <c r="S41" s="109">
        <f t="shared" si="8"/>
        <v>715.1</v>
      </c>
      <c r="T41" s="109">
        <f t="shared" si="8"/>
        <v>99.513999999999996</v>
      </c>
      <c r="U41" s="109">
        <f t="shared" si="8"/>
        <v>240.66</v>
      </c>
      <c r="V41" s="109">
        <f t="shared" si="8"/>
        <v>472.14</v>
      </c>
      <c r="W41" s="109">
        <f t="shared" si="8"/>
        <v>8.7059999999999995</v>
      </c>
      <c r="X41" s="109">
        <f t="shared" si="8"/>
        <v>58.3</v>
      </c>
      <c r="Y41" s="109">
        <f t="shared" si="8"/>
        <v>38.218000000000004</v>
      </c>
    </row>
    <row r="42" spans="1:25" s="120" customFormat="1" ht="22.05" customHeight="1" x14ac:dyDescent="0.3">
      <c r="A42" s="20"/>
      <c r="B42" s="39"/>
      <c r="C42" s="40"/>
      <c r="D42" s="40"/>
      <c r="E42" s="197"/>
      <c r="F42" s="97"/>
      <c r="G42" s="97"/>
      <c r="H42" s="97"/>
      <c r="I42" s="97"/>
      <c r="J42" s="67"/>
      <c r="K42" s="97"/>
      <c r="L42" s="97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</row>
    <row r="43" spans="1:25" s="50" customFormat="1" ht="22.05" customHeight="1" x14ac:dyDescent="0.3">
      <c r="A43" s="14"/>
      <c r="B43" s="36"/>
      <c r="C43" s="31"/>
      <c r="D43" s="31"/>
      <c r="E43" s="14"/>
      <c r="F43" s="37"/>
      <c r="G43" s="37"/>
      <c r="H43" s="37"/>
      <c r="I43" s="37"/>
      <c r="J43" s="14"/>
      <c r="K43" s="65"/>
      <c r="L43" s="65"/>
    </row>
    <row r="44" spans="1:25" s="48" customFormat="1" ht="22.05" customHeight="1" x14ac:dyDescent="0.3">
      <c r="A44" s="20"/>
      <c r="B44" s="252" t="s">
        <v>60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124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</row>
    <row r="45" spans="1:25" s="48" customFormat="1" ht="22.05" customHeight="1" x14ac:dyDescent="0.3">
      <c r="A45" s="20"/>
      <c r="B45" s="253" t="s">
        <v>73</v>
      </c>
      <c r="C45" s="259" t="s">
        <v>1</v>
      </c>
      <c r="D45" s="260"/>
      <c r="E45" s="253" t="s">
        <v>74</v>
      </c>
      <c r="F45" s="255" t="s">
        <v>3</v>
      </c>
      <c r="G45" s="256"/>
      <c r="H45" s="256"/>
      <c r="I45" s="253" t="s">
        <v>145</v>
      </c>
      <c r="J45" s="255" t="s">
        <v>75</v>
      </c>
      <c r="K45" s="257" t="s">
        <v>185</v>
      </c>
      <c r="L45" s="127"/>
      <c r="M45" s="237" t="s">
        <v>159</v>
      </c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</row>
    <row r="46" spans="1:25" s="48" customFormat="1" ht="43.8" customHeight="1" x14ac:dyDescent="0.3">
      <c r="A46" s="20"/>
      <c r="B46" s="254"/>
      <c r="C46" s="261"/>
      <c r="D46" s="262"/>
      <c r="E46" s="254"/>
      <c r="F46" s="89" t="s">
        <v>142</v>
      </c>
      <c r="G46" s="89" t="s">
        <v>143</v>
      </c>
      <c r="H46" s="89" t="s">
        <v>144</v>
      </c>
      <c r="I46" s="254"/>
      <c r="J46" s="255"/>
      <c r="K46" s="258"/>
      <c r="L46" s="128"/>
      <c r="M46" s="238" t="s">
        <v>89</v>
      </c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</row>
    <row r="47" spans="1:25" s="48" customFormat="1" ht="22.05" customHeight="1" x14ac:dyDescent="0.3">
      <c r="A47" s="20"/>
      <c r="B47" s="245" t="s">
        <v>89</v>
      </c>
      <c r="C47" s="246"/>
      <c r="D47" s="246"/>
      <c r="E47" s="246"/>
      <c r="F47" s="246"/>
      <c r="G47" s="246"/>
      <c r="H47" s="246"/>
      <c r="I47" s="246"/>
      <c r="J47" s="246"/>
      <c r="K47" s="247"/>
      <c r="L47" s="153"/>
      <c r="M47" s="86" t="s">
        <v>146</v>
      </c>
      <c r="N47" s="86" t="s">
        <v>147</v>
      </c>
      <c r="O47" s="86" t="s">
        <v>148</v>
      </c>
      <c r="P47" s="86" t="s">
        <v>150</v>
      </c>
      <c r="Q47" s="86" t="s">
        <v>149</v>
      </c>
      <c r="R47" s="86" t="s">
        <v>151</v>
      </c>
      <c r="S47" s="86" t="s">
        <v>152</v>
      </c>
      <c r="T47" s="86" t="s">
        <v>153</v>
      </c>
      <c r="U47" s="86" t="s">
        <v>154</v>
      </c>
      <c r="V47" s="86" t="s">
        <v>155</v>
      </c>
      <c r="W47" s="86" t="s">
        <v>156</v>
      </c>
      <c r="X47" s="86" t="s">
        <v>157</v>
      </c>
      <c r="Y47" s="86" t="s">
        <v>158</v>
      </c>
    </row>
    <row r="48" spans="1:25" s="120" customFormat="1" ht="22.05" customHeight="1" x14ac:dyDescent="0.3">
      <c r="A48" s="20"/>
      <c r="B48" s="268" t="s">
        <v>4</v>
      </c>
      <c r="C48" s="293" t="s">
        <v>206</v>
      </c>
      <c r="D48" s="294"/>
      <c r="E48" s="51">
        <v>60</v>
      </c>
      <c r="F48" s="52">
        <v>0.28999999999999998</v>
      </c>
      <c r="G48" s="52">
        <v>2.31</v>
      </c>
      <c r="H48" s="52">
        <v>1.67</v>
      </c>
      <c r="I48" s="52">
        <v>28.4</v>
      </c>
      <c r="J48" s="134" t="s">
        <v>207</v>
      </c>
      <c r="K48" s="145">
        <v>20.61</v>
      </c>
      <c r="L48" s="145"/>
      <c r="M48" s="119">
        <v>0.04</v>
      </c>
      <c r="N48" s="119">
        <v>0.04</v>
      </c>
      <c r="O48" s="119">
        <v>85.87</v>
      </c>
      <c r="P48" s="119">
        <v>0.27</v>
      </c>
      <c r="Q48" s="119">
        <v>14.67</v>
      </c>
      <c r="R48" s="119">
        <v>124</v>
      </c>
      <c r="S48" s="119">
        <v>177.33</v>
      </c>
      <c r="T48" s="119">
        <v>25.33</v>
      </c>
      <c r="U48" s="119">
        <v>13.33</v>
      </c>
      <c r="V48" s="119">
        <v>24</v>
      </c>
      <c r="W48" s="119">
        <v>0</v>
      </c>
      <c r="X48" s="119">
        <v>12.4</v>
      </c>
      <c r="Y48" s="119">
        <v>0.27</v>
      </c>
    </row>
    <row r="49" spans="1:25" s="48" customFormat="1" ht="22.05" customHeight="1" x14ac:dyDescent="0.3">
      <c r="A49" s="20"/>
      <c r="B49" s="268"/>
      <c r="C49" s="293" t="s">
        <v>30</v>
      </c>
      <c r="D49" s="294"/>
      <c r="E49" s="51">
        <v>150</v>
      </c>
      <c r="F49" s="52">
        <v>3.6</v>
      </c>
      <c r="G49" s="52">
        <v>5.2</v>
      </c>
      <c r="H49" s="52">
        <v>38.1</v>
      </c>
      <c r="I49" s="52">
        <v>213.5</v>
      </c>
      <c r="J49" s="134" t="s">
        <v>29</v>
      </c>
      <c r="K49" s="145">
        <v>13.05</v>
      </c>
      <c r="L49" s="145"/>
      <c r="M49" s="87">
        <v>0</v>
      </c>
      <c r="N49" s="87">
        <v>0</v>
      </c>
      <c r="O49" s="87">
        <v>20</v>
      </c>
      <c r="P49" s="87">
        <v>0.7</v>
      </c>
      <c r="Q49" s="87">
        <v>0</v>
      </c>
      <c r="R49" s="87">
        <v>206</v>
      </c>
      <c r="S49" s="87">
        <v>31</v>
      </c>
      <c r="T49" s="87">
        <v>14</v>
      </c>
      <c r="U49" s="87">
        <v>10</v>
      </c>
      <c r="V49" s="87">
        <v>47</v>
      </c>
      <c r="W49" s="87">
        <v>1</v>
      </c>
      <c r="X49" s="87">
        <v>20</v>
      </c>
      <c r="Y49" s="87">
        <v>7.3</v>
      </c>
    </row>
    <row r="50" spans="1:25" s="120" customFormat="1" ht="22.05" customHeight="1" x14ac:dyDescent="0.3">
      <c r="A50" s="20"/>
      <c r="B50" s="268"/>
      <c r="C50" s="248" t="s">
        <v>165</v>
      </c>
      <c r="D50" s="249"/>
      <c r="E50" s="51">
        <v>90</v>
      </c>
      <c r="F50" s="52">
        <v>10.42</v>
      </c>
      <c r="G50" s="52">
        <v>5.5</v>
      </c>
      <c r="H50" s="52">
        <v>4.8</v>
      </c>
      <c r="I50" s="52">
        <v>110.03</v>
      </c>
      <c r="J50" s="134" t="s">
        <v>54</v>
      </c>
      <c r="K50" s="145">
        <v>48.3</v>
      </c>
      <c r="L50" s="145"/>
      <c r="M50" s="119">
        <v>0.06</v>
      </c>
      <c r="N50" s="119">
        <v>0.1</v>
      </c>
      <c r="O50" s="119">
        <v>54</v>
      </c>
      <c r="P50" s="119">
        <v>0.9</v>
      </c>
      <c r="Q50" s="119">
        <v>1.3</v>
      </c>
      <c r="R50" s="119">
        <v>117</v>
      </c>
      <c r="S50" s="119">
        <v>411.4</v>
      </c>
      <c r="T50" s="119">
        <v>19.3</v>
      </c>
      <c r="U50" s="119">
        <v>48.9</v>
      </c>
      <c r="V50" s="119">
        <v>24.4</v>
      </c>
      <c r="W50" s="119">
        <v>0</v>
      </c>
      <c r="X50" s="119">
        <v>129.19999999999999</v>
      </c>
      <c r="Y50" s="119">
        <v>10.9</v>
      </c>
    </row>
    <row r="51" spans="1:25" s="48" customFormat="1" ht="22.05" customHeight="1" x14ac:dyDescent="0.3">
      <c r="A51" s="20"/>
      <c r="B51" s="268"/>
      <c r="C51" s="248" t="s">
        <v>114</v>
      </c>
      <c r="D51" s="249"/>
      <c r="E51" s="51">
        <v>50</v>
      </c>
      <c r="F51" s="52">
        <v>2.7</v>
      </c>
      <c r="G51" s="52">
        <v>0.32</v>
      </c>
      <c r="H51" s="52">
        <v>17.68</v>
      </c>
      <c r="I51" s="52">
        <v>80.39</v>
      </c>
      <c r="J51" s="135" t="s">
        <v>63</v>
      </c>
      <c r="K51" s="145">
        <v>4.6399999999999997</v>
      </c>
      <c r="L51" s="145"/>
      <c r="M51" s="87">
        <f>M10/30*51</f>
        <v>0.20910000000000001</v>
      </c>
      <c r="N51" s="87">
        <f t="shared" ref="N51:Y51" si="9">N10/30*51</f>
        <v>0.12919999999999998</v>
      </c>
      <c r="O51" s="87">
        <f t="shared" si="9"/>
        <v>0</v>
      </c>
      <c r="P51" s="87">
        <f t="shared" si="9"/>
        <v>2.8559999999999999</v>
      </c>
      <c r="Q51" s="87">
        <f t="shared" si="9"/>
        <v>0.10200000000000001</v>
      </c>
      <c r="R51" s="87">
        <f t="shared" si="9"/>
        <v>241.23000000000002</v>
      </c>
      <c r="S51" s="87">
        <f t="shared" si="9"/>
        <v>63.75</v>
      </c>
      <c r="T51" s="87">
        <f t="shared" si="9"/>
        <v>2.4990000000000001</v>
      </c>
      <c r="U51" s="87">
        <f t="shared" si="9"/>
        <v>20.91</v>
      </c>
      <c r="V51" s="87">
        <f t="shared" si="9"/>
        <v>65.790000000000006</v>
      </c>
      <c r="W51" s="87">
        <f t="shared" si="9"/>
        <v>1.8360000000000003</v>
      </c>
      <c r="X51" s="87">
        <f t="shared" si="9"/>
        <v>0</v>
      </c>
      <c r="Y51" s="87">
        <f t="shared" si="9"/>
        <v>14.688000000000002</v>
      </c>
    </row>
    <row r="52" spans="1:25" s="48" customFormat="1" ht="22.05" customHeight="1" x14ac:dyDescent="0.3">
      <c r="A52" s="20"/>
      <c r="B52" s="268"/>
      <c r="C52" s="248" t="s">
        <v>118</v>
      </c>
      <c r="D52" s="249"/>
      <c r="E52" s="51">
        <v>30</v>
      </c>
      <c r="F52" s="52">
        <v>1.1299999999999999</v>
      </c>
      <c r="G52" s="52">
        <v>0.17</v>
      </c>
      <c r="H52" s="52">
        <v>12</v>
      </c>
      <c r="I52" s="52">
        <v>51.2</v>
      </c>
      <c r="J52" s="135" t="s">
        <v>63</v>
      </c>
      <c r="K52" s="145">
        <v>2.73</v>
      </c>
      <c r="L52" s="145"/>
      <c r="M52" s="87">
        <f t="shared" ref="M52:Y52" si="10">M11</f>
        <v>0.13</v>
      </c>
      <c r="N52" s="87">
        <f t="shared" si="10"/>
        <v>0.1</v>
      </c>
      <c r="O52" s="87">
        <f t="shared" si="10"/>
        <v>0</v>
      </c>
      <c r="P52" s="87">
        <f t="shared" si="10"/>
        <v>1.1399999999999999</v>
      </c>
      <c r="Q52" s="87">
        <f t="shared" si="10"/>
        <v>0.12</v>
      </c>
      <c r="R52" s="87">
        <f t="shared" si="10"/>
        <v>180.9</v>
      </c>
      <c r="S52" s="87">
        <f t="shared" si="10"/>
        <v>21.9</v>
      </c>
      <c r="T52" s="87">
        <f t="shared" si="10"/>
        <v>0.36</v>
      </c>
      <c r="U52" s="87">
        <f t="shared" si="10"/>
        <v>12</v>
      </c>
      <c r="V52" s="87">
        <f t="shared" si="10"/>
        <v>37.5</v>
      </c>
      <c r="W52" s="87">
        <f t="shared" si="10"/>
        <v>0.85</v>
      </c>
      <c r="X52" s="87">
        <f t="shared" si="10"/>
        <v>0</v>
      </c>
      <c r="Y52" s="87">
        <f t="shared" si="10"/>
        <v>9.27</v>
      </c>
    </row>
    <row r="53" spans="1:25" s="48" customFormat="1" ht="22.05" customHeight="1" x14ac:dyDescent="0.3">
      <c r="A53" s="20"/>
      <c r="B53" s="268"/>
      <c r="C53" s="248" t="s">
        <v>192</v>
      </c>
      <c r="D53" s="249"/>
      <c r="E53" s="51">
        <v>200</v>
      </c>
      <c r="F53" s="52">
        <v>1.8</v>
      </c>
      <c r="G53" s="52">
        <v>0.1</v>
      </c>
      <c r="H53" s="52">
        <v>23.5</v>
      </c>
      <c r="I53" s="52">
        <v>102.2</v>
      </c>
      <c r="J53" s="134" t="s">
        <v>193</v>
      </c>
      <c r="K53" s="145">
        <v>12.67</v>
      </c>
      <c r="L53" s="145"/>
      <c r="M53" s="87">
        <v>0.03</v>
      </c>
      <c r="N53" s="87">
        <v>0.06</v>
      </c>
      <c r="O53" s="87">
        <v>129</v>
      </c>
      <c r="P53" s="87">
        <v>0.9</v>
      </c>
      <c r="Q53" s="87">
        <v>1</v>
      </c>
      <c r="R53" s="87">
        <v>6</v>
      </c>
      <c r="S53" s="87">
        <v>635</v>
      </c>
      <c r="T53" s="87">
        <v>52</v>
      </c>
      <c r="U53" s="87">
        <v>34</v>
      </c>
      <c r="V53" s="87">
        <v>47</v>
      </c>
      <c r="W53" s="87">
        <v>1</v>
      </c>
      <c r="X53" s="87">
        <v>0</v>
      </c>
      <c r="Y53" s="87">
        <v>0</v>
      </c>
    </row>
    <row r="54" spans="1:25" s="48" customFormat="1" ht="22.05" customHeight="1" x14ac:dyDescent="0.3">
      <c r="A54" s="20"/>
      <c r="B54" s="43"/>
      <c r="C54" s="263" t="s">
        <v>108</v>
      </c>
      <c r="D54" s="264"/>
      <c r="E54" s="45">
        <f>SUM(E48:E53)</f>
        <v>580</v>
      </c>
      <c r="F54" s="58">
        <f>SUM(F48:F53)</f>
        <v>19.940000000000001</v>
      </c>
      <c r="G54" s="58">
        <f>SUM(G48:G53)</f>
        <v>13.6</v>
      </c>
      <c r="H54" s="58">
        <f>SUM(H48:H53)</f>
        <v>97.75</v>
      </c>
      <c r="I54" s="58">
        <f>SUM(I48:I53)</f>
        <v>585.72</v>
      </c>
      <c r="J54" s="74"/>
      <c r="K54" s="58">
        <f>SUM(K48:K53)</f>
        <v>102</v>
      </c>
      <c r="L54" s="145"/>
      <c r="M54" s="109">
        <f t="shared" ref="M54:Y54" si="11">SUM(M48:M53)</f>
        <v>0.46910000000000007</v>
      </c>
      <c r="N54" s="109">
        <f t="shared" si="11"/>
        <v>0.42919999999999997</v>
      </c>
      <c r="O54" s="109">
        <f t="shared" si="11"/>
        <v>288.87</v>
      </c>
      <c r="P54" s="109">
        <f t="shared" si="11"/>
        <v>6.766</v>
      </c>
      <c r="Q54" s="109">
        <f t="shared" si="11"/>
        <v>17.192</v>
      </c>
      <c r="R54" s="109">
        <f t="shared" si="11"/>
        <v>875.13</v>
      </c>
      <c r="S54" s="109">
        <f t="shared" si="11"/>
        <v>1340.38</v>
      </c>
      <c r="T54" s="109">
        <f t="shared" si="11"/>
        <v>113.489</v>
      </c>
      <c r="U54" s="109">
        <f t="shared" si="11"/>
        <v>139.13999999999999</v>
      </c>
      <c r="V54" s="109">
        <f t="shared" si="11"/>
        <v>245.69</v>
      </c>
      <c r="W54" s="109">
        <f t="shared" si="11"/>
        <v>4.6859999999999999</v>
      </c>
      <c r="X54" s="109">
        <f t="shared" si="11"/>
        <v>161.6</v>
      </c>
      <c r="Y54" s="109">
        <f t="shared" si="11"/>
        <v>42.427999999999997</v>
      </c>
    </row>
    <row r="55" spans="1:25" s="50" customFormat="1" ht="22.05" customHeight="1" x14ac:dyDescent="0.3">
      <c r="A55" s="14"/>
      <c r="B55" s="36"/>
      <c r="C55" s="14"/>
      <c r="D55" s="14"/>
      <c r="E55" s="14"/>
      <c r="F55" s="37"/>
      <c r="G55" s="37"/>
      <c r="H55" s="37"/>
      <c r="I55" s="37"/>
      <c r="J55" s="14"/>
      <c r="K55" s="65"/>
      <c r="L55" s="65"/>
    </row>
    <row r="56" spans="1:25" s="48" customFormat="1" ht="22.05" customHeight="1" x14ac:dyDescent="0.3">
      <c r="A56" s="20"/>
      <c r="B56" s="252" t="s">
        <v>60</v>
      </c>
      <c r="C56" s="252"/>
      <c r="D56" s="252"/>
      <c r="E56" s="252"/>
      <c r="F56" s="252"/>
      <c r="G56" s="252"/>
      <c r="H56" s="252"/>
      <c r="I56" s="252"/>
      <c r="J56" s="252"/>
      <c r="K56" s="252"/>
      <c r="L56" s="124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</row>
    <row r="57" spans="1:25" s="48" customFormat="1" ht="22.05" customHeight="1" x14ac:dyDescent="0.3">
      <c r="A57" s="20"/>
      <c r="B57" s="253" t="s">
        <v>73</v>
      </c>
      <c r="C57" s="259" t="s">
        <v>1</v>
      </c>
      <c r="D57" s="260"/>
      <c r="E57" s="253" t="s">
        <v>74</v>
      </c>
      <c r="F57" s="255" t="s">
        <v>3</v>
      </c>
      <c r="G57" s="256"/>
      <c r="H57" s="256"/>
      <c r="I57" s="253" t="s">
        <v>145</v>
      </c>
      <c r="J57" s="255" t="s">
        <v>75</v>
      </c>
      <c r="K57" s="257" t="s">
        <v>185</v>
      </c>
      <c r="L57" s="127"/>
      <c r="M57" s="237" t="s">
        <v>159</v>
      </c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</row>
    <row r="58" spans="1:25" s="48" customFormat="1" ht="44.4" customHeight="1" x14ac:dyDescent="0.3">
      <c r="A58" s="20"/>
      <c r="B58" s="254"/>
      <c r="C58" s="261"/>
      <c r="D58" s="262"/>
      <c r="E58" s="254"/>
      <c r="F58" s="35" t="s">
        <v>142</v>
      </c>
      <c r="G58" s="35" t="s">
        <v>143</v>
      </c>
      <c r="H58" s="35" t="s">
        <v>144</v>
      </c>
      <c r="I58" s="254"/>
      <c r="J58" s="255"/>
      <c r="K58" s="258"/>
      <c r="L58" s="128"/>
      <c r="M58" s="238" t="s">
        <v>77</v>
      </c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</row>
    <row r="59" spans="1:25" s="50" customFormat="1" ht="22.05" customHeight="1" x14ac:dyDescent="0.3">
      <c r="A59" s="14"/>
      <c r="B59" s="245" t="s">
        <v>77</v>
      </c>
      <c r="C59" s="246"/>
      <c r="D59" s="246"/>
      <c r="E59" s="246"/>
      <c r="F59" s="246"/>
      <c r="G59" s="246"/>
      <c r="H59" s="246"/>
      <c r="I59" s="246"/>
      <c r="J59" s="246"/>
      <c r="K59" s="247"/>
      <c r="L59" s="153"/>
      <c r="M59" s="85" t="s">
        <v>146</v>
      </c>
      <c r="N59" s="85" t="s">
        <v>147</v>
      </c>
      <c r="O59" s="85" t="s">
        <v>148</v>
      </c>
      <c r="P59" s="85" t="s">
        <v>150</v>
      </c>
      <c r="Q59" s="85" t="s">
        <v>149</v>
      </c>
      <c r="R59" s="85" t="s">
        <v>151</v>
      </c>
      <c r="S59" s="85" t="s">
        <v>152</v>
      </c>
      <c r="T59" s="85" t="s">
        <v>153</v>
      </c>
      <c r="U59" s="85" t="s">
        <v>154</v>
      </c>
      <c r="V59" s="85" t="s">
        <v>155</v>
      </c>
      <c r="W59" s="85" t="s">
        <v>156</v>
      </c>
      <c r="X59" s="85" t="s">
        <v>157</v>
      </c>
      <c r="Y59" s="85" t="s">
        <v>158</v>
      </c>
    </row>
    <row r="60" spans="1:25" s="120" customFormat="1" ht="22.05" customHeight="1" x14ac:dyDescent="0.3">
      <c r="A60" s="20"/>
      <c r="B60" s="268" t="s">
        <v>4</v>
      </c>
      <c r="C60" s="248" t="s">
        <v>208</v>
      </c>
      <c r="D60" s="249"/>
      <c r="E60" s="51">
        <v>80</v>
      </c>
      <c r="F60" s="52">
        <v>0.89</v>
      </c>
      <c r="G60" s="52">
        <v>2.67</v>
      </c>
      <c r="H60" s="52">
        <v>6.37</v>
      </c>
      <c r="I60" s="52">
        <v>52.6</v>
      </c>
      <c r="J60" s="134">
        <v>15</v>
      </c>
      <c r="K60" s="145">
        <v>12.83</v>
      </c>
      <c r="L60" s="145"/>
      <c r="M60" s="119">
        <v>0.02</v>
      </c>
      <c r="N60" s="119">
        <v>0.03</v>
      </c>
      <c r="O60" s="119">
        <v>0</v>
      </c>
      <c r="P60" s="119">
        <v>0</v>
      </c>
      <c r="Q60" s="119">
        <v>5.04</v>
      </c>
      <c r="R60" s="119">
        <v>0</v>
      </c>
      <c r="S60" s="119">
        <v>0</v>
      </c>
      <c r="T60" s="119">
        <v>27.61</v>
      </c>
      <c r="U60" s="119">
        <v>14.61</v>
      </c>
      <c r="V60" s="119">
        <v>24.13</v>
      </c>
      <c r="W60" s="119">
        <v>0.72</v>
      </c>
      <c r="X60" s="119">
        <v>0</v>
      </c>
      <c r="Y60" s="119">
        <v>0</v>
      </c>
    </row>
    <row r="61" spans="1:25" s="120" customFormat="1" ht="22.05" customHeight="1" x14ac:dyDescent="0.3">
      <c r="A61" s="20"/>
      <c r="B61" s="268"/>
      <c r="C61" s="291" t="s">
        <v>34</v>
      </c>
      <c r="D61" s="291"/>
      <c r="E61" s="51">
        <v>170</v>
      </c>
      <c r="F61" s="52">
        <v>3.17</v>
      </c>
      <c r="G61" s="52">
        <v>5.88</v>
      </c>
      <c r="H61" s="52">
        <v>24.34</v>
      </c>
      <c r="I61" s="52">
        <v>162.4</v>
      </c>
      <c r="J61" s="134" t="s">
        <v>33</v>
      </c>
      <c r="K61" s="145">
        <v>24.29</v>
      </c>
      <c r="L61" s="145"/>
      <c r="M61" s="119">
        <v>0.14000000000000001</v>
      </c>
      <c r="N61" s="119">
        <v>0.1</v>
      </c>
      <c r="O61" s="119">
        <v>26.4</v>
      </c>
      <c r="P61" s="119">
        <v>1.1000000000000001</v>
      </c>
      <c r="Q61" s="119">
        <v>11.1</v>
      </c>
      <c r="R61" s="119">
        <v>271.2</v>
      </c>
      <c r="S61" s="119">
        <v>852.6</v>
      </c>
      <c r="T61" s="119">
        <v>45.9</v>
      </c>
      <c r="U61" s="119">
        <v>33.200000000000003</v>
      </c>
      <c r="V61" s="119">
        <v>94.4</v>
      </c>
      <c r="W61" s="119">
        <v>0.9</v>
      </c>
      <c r="X61" s="119">
        <v>32.299999999999997</v>
      </c>
      <c r="Y61" s="119">
        <v>0.9</v>
      </c>
    </row>
    <row r="62" spans="1:25" s="120" customFormat="1" ht="22.05" customHeight="1" x14ac:dyDescent="0.3">
      <c r="A62" s="14"/>
      <c r="B62" s="268"/>
      <c r="C62" s="248" t="s">
        <v>22</v>
      </c>
      <c r="D62" s="249"/>
      <c r="E62" s="51">
        <v>100</v>
      </c>
      <c r="F62" s="52">
        <v>14.7</v>
      </c>
      <c r="G62" s="52">
        <v>12.3</v>
      </c>
      <c r="H62" s="52">
        <v>8.6</v>
      </c>
      <c r="I62" s="52">
        <v>203.2</v>
      </c>
      <c r="J62" s="134" t="s">
        <v>21</v>
      </c>
      <c r="K62" s="145">
        <v>54.12</v>
      </c>
      <c r="L62" s="145"/>
      <c r="M62" s="119">
        <v>0.04</v>
      </c>
      <c r="N62" s="119">
        <v>0.1</v>
      </c>
      <c r="O62" s="119">
        <v>1.7</v>
      </c>
      <c r="P62" s="119">
        <v>1.9</v>
      </c>
      <c r="Q62" s="119">
        <v>0</v>
      </c>
      <c r="R62" s="119">
        <v>268.89999999999998</v>
      </c>
      <c r="S62" s="119">
        <v>282.2</v>
      </c>
      <c r="T62" s="119">
        <v>26.7</v>
      </c>
      <c r="U62" s="119">
        <v>18.899999999999999</v>
      </c>
      <c r="V62" s="119">
        <v>156.69999999999999</v>
      </c>
      <c r="W62" s="119">
        <v>2.2000000000000002</v>
      </c>
      <c r="X62" s="119">
        <v>29.7</v>
      </c>
      <c r="Y62" s="119">
        <v>1.6</v>
      </c>
    </row>
    <row r="63" spans="1:25" s="120" customFormat="1" ht="22.05" customHeight="1" x14ac:dyDescent="0.3">
      <c r="A63" s="14"/>
      <c r="B63" s="268"/>
      <c r="C63" s="248" t="s">
        <v>194</v>
      </c>
      <c r="D63" s="249"/>
      <c r="E63" s="51">
        <v>30</v>
      </c>
      <c r="F63" s="52">
        <v>0.99</v>
      </c>
      <c r="G63" s="52">
        <v>0.81</v>
      </c>
      <c r="H63" s="52">
        <v>2.4</v>
      </c>
      <c r="I63" s="52">
        <v>22.1</v>
      </c>
      <c r="J63" s="134" t="s">
        <v>195</v>
      </c>
      <c r="K63" s="145">
        <v>2.96</v>
      </c>
      <c r="L63" s="145"/>
      <c r="M63" s="119">
        <v>6.0000000000000001E-3</v>
      </c>
      <c r="N63" s="119">
        <v>0</v>
      </c>
      <c r="O63" s="119">
        <v>7.98</v>
      </c>
      <c r="P63" s="119">
        <v>0.06</v>
      </c>
      <c r="Q63" s="119">
        <v>0.6</v>
      </c>
      <c r="R63" s="119">
        <v>14.1</v>
      </c>
      <c r="S63" s="119">
        <v>10.5</v>
      </c>
      <c r="T63" s="119">
        <v>3.9</v>
      </c>
      <c r="U63" s="119">
        <v>1.5</v>
      </c>
      <c r="V63" s="119">
        <v>6.9</v>
      </c>
      <c r="W63" s="119">
        <v>0</v>
      </c>
      <c r="X63" s="119">
        <v>0.54</v>
      </c>
      <c r="Y63" s="119">
        <v>0.12</v>
      </c>
    </row>
    <row r="64" spans="1:25" s="48" customFormat="1" ht="22.05" customHeight="1" x14ac:dyDescent="0.3">
      <c r="A64" s="20"/>
      <c r="B64" s="268"/>
      <c r="C64" s="248" t="s">
        <v>114</v>
      </c>
      <c r="D64" s="249"/>
      <c r="E64" s="51">
        <v>47</v>
      </c>
      <c r="F64" s="52">
        <v>2.5299999999999998</v>
      </c>
      <c r="G64" s="52">
        <v>0.3</v>
      </c>
      <c r="H64" s="52">
        <v>16.579999999999998</v>
      </c>
      <c r="I64" s="52">
        <v>75.400000000000006</v>
      </c>
      <c r="J64" s="135" t="s">
        <v>63</v>
      </c>
      <c r="K64" s="145">
        <v>4</v>
      </c>
      <c r="L64" s="145"/>
      <c r="M64" s="87">
        <f>M10/30*47</f>
        <v>0.19270000000000001</v>
      </c>
      <c r="N64" s="87">
        <f t="shared" ref="N64:Y64" si="12">N10/30*47</f>
        <v>0.11906666666666665</v>
      </c>
      <c r="O64" s="87">
        <f t="shared" si="12"/>
        <v>0</v>
      </c>
      <c r="P64" s="87">
        <f t="shared" si="12"/>
        <v>2.6320000000000001</v>
      </c>
      <c r="Q64" s="87">
        <f t="shared" si="12"/>
        <v>9.4E-2</v>
      </c>
      <c r="R64" s="87">
        <f t="shared" si="12"/>
        <v>222.31000000000003</v>
      </c>
      <c r="S64" s="87">
        <f t="shared" si="12"/>
        <v>58.75</v>
      </c>
      <c r="T64" s="87">
        <f t="shared" si="12"/>
        <v>2.3029999999999999</v>
      </c>
      <c r="U64" s="87">
        <f t="shared" si="12"/>
        <v>19.270000000000003</v>
      </c>
      <c r="V64" s="87">
        <f t="shared" si="12"/>
        <v>60.63</v>
      </c>
      <c r="W64" s="87">
        <f t="shared" si="12"/>
        <v>1.6920000000000002</v>
      </c>
      <c r="X64" s="87">
        <f t="shared" si="12"/>
        <v>0</v>
      </c>
      <c r="Y64" s="87">
        <f t="shared" si="12"/>
        <v>13.536000000000001</v>
      </c>
    </row>
    <row r="65" spans="1:25" s="48" customFormat="1" ht="22.05" customHeight="1" x14ac:dyDescent="0.3">
      <c r="A65" s="20"/>
      <c r="B65" s="268"/>
      <c r="C65" s="248" t="s">
        <v>118</v>
      </c>
      <c r="D65" s="249"/>
      <c r="E65" s="51">
        <v>28</v>
      </c>
      <c r="F65" s="52">
        <v>1</v>
      </c>
      <c r="G65" s="52">
        <v>0.15</v>
      </c>
      <c r="H65" s="52">
        <v>10.56</v>
      </c>
      <c r="I65" s="52">
        <v>45.4</v>
      </c>
      <c r="J65" s="135" t="s">
        <v>63</v>
      </c>
      <c r="K65" s="145">
        <v>2.5499999999999998</v>
      </c>
      <c r="L65" s="145"/>
      <c r="M65" s="87">
        <f>M11/30*28</f>
        <v>0.12133333333333332</v>
      </c>
      <c r="N65" s="87">
        <f t="shared" ref="N65:Y65" si="13">N11/30*28</f>
        <v>9.3333333333333338E-2</v>
      </c>
      <c r="O65" s="87">
        <f t="shared" si="13"/>
        <v>0</v>
      </c>
      <c r="P65" s="87">
        <f t="shared" si="13"/>
        <v>1.0640000000000001</v>
      </c>
      <c r="Q65" s="87">
        <f t="shared" si="13"/>
        <v>0.112</v>
      </c>
      <c r="R65" s="87">
        <f t="shared" si="13"/>
        <v>168.84</v>
      </c>
      <c r="S65" s="87">
        <f t="shared" si="13"/>
        <v>20.439999999999998</v>
      </c>
      <c r="T65" s="87">
        <f t="shared" si="13"/>
        <v>0.33600000000000002</v>
      </c>
      <c r="U65" s="87">
        <f t="shared" si="13"/>
        <v>11.200000000000001</v>
      </c>
      <c r="V65" s="87">
        <f t="shared" si="13"/>
        <v>35</v>
      </c>
      <c r="W65" s="87">
        <f t="shared" si="13"/>
        <v>0.79333333333333333</v>
      </c>
      <c r="X65" s="87">
        <f t="shared" si="13"/>
        <v>0</v>
      </c>
      <c r="Y65" s="87">
        <f t="shared" si="13"/>
        <v>8.6519999999999992</v>
      </c>
    </row>
    <row r="66" spans="1:25" s="48" customFormat="1" ht="22.05" customHeight="1" x14ac:dyDescent="0.3">
      <c r="A66" s="20"/>
      <c r="B66" s="268"/>
      <c r="C66" s="248" t="s">
        <v>24</v>
      </c>
      <c r="D66" s="249"/>
      <c r="E66" s="51">
        <v>200</v>
      </c>
      <c r="F66" s="52">
        <v>0.2</v>
      </c>
      <c r="G66" s="52">
        <v>0</v>
      </c>
      <c r="H66" s="52">
        <v>6.4</v>
      </c>
      <c r="I66" s="52">
        <v>26.4</v>
      </c>
      <c r="J66" s="134" t="s">
        <v>23</v>
      </c>
      <c r="K66" s="145">
        <v>1.25</v>
      </c>
      <c r="L66" s="145"/>
      <c r="M66" s="87">
        <v>0</v>
      </c>
      <c r="N66" s="87">
        <v>0</v>
      </c>
      <c r="O66" s="87">
        <v>0</v>
      </c>
      <c r="P66" s="87">
        <v>0.1</v>
      </c>
      <c r="Q66" s="87">
        <v>0</v>
      </c>
      <c r="R66" s="87">
        <v>1</v>
      </c>
      <c r="S66" s="87">
        <v>25</v>
      </c>
      <c r="T66" s="87">
        <v>4</v>
      </c>
      <c r="U66" s="87">
        <v>4</v>
      </c>
      <c r="V66" s="87">
        <v>7</v>
      </c>
      <c r="W66" s="87">
        <v>1</v>
      </c>
      <c r="X66" s="87">
        <v>0</v>
      </c>
      <c r="Y66" s="87">
        <v>0</v>
      </c>
    </row>
    <row r="67" spans="1:25" s="20" customFormat="1" ht="22.05" customHeight="1" x14ac:dyDescent="0.3">
      <c r="B67" s="43"/>
      <c r="C67" s="263" t="s">
        <v>108</v>
      </c>
      <c r="D67" s="264"/>
      <c r="E67" s="45">
        <f>SUM(E60:E66)</f>
        <v>655</v>
      </c>
      <c r="F67" s="58">
        <f>SUM(F60:F66)</f>
        <v>23.479999999999997</v>
      </c>
      <c r="G67" s="58">
        <f>SUM(G60:G66)</f>
        <v>22.11</v>
      </c>
      <c r="H67" s="58">
        <f>SUM(H60:H66)</f>
        <v>75.25</v>
      </c>
      <c r="I67" s="58">
        <f>SUM(I60:I66)</f>
        <v>587.5</v>
      </c>
      <c r="J67" s="74"/>
      <c r="K67" s="58">
        <f>SUM(K60:K66)</f>
        <v>101.99999999999999</v>
      </c>
      <c r="L67" s="145"/>
      <c r="M67" s="110">
        <f t="shared" ref="M67:Y67" si="14">SUM(M60:M66)</f>
        <v>0.52003333333333335</v>
      </c>
      <c r="N67" s="110">
        <f t="shared" si="14"/>
        <v>0.44239999999999996</v>
      </c>
      <c r="O67" s="110">
        <f t="shared" si="14"/>
        <v>36.08</v>
      </c>
      <c r="P67" s="110">
        <f t="shared" si="14"/>
        <v>6.8559999999999999</v>
      </c>
      <c r="Q67" s="110">
        <f t="shared" si="14"/>
        <v>16.946000000000002</v>
      </c>
      <c r="R67" s="110">
        <f t="shared" si="14"/>
        <v>946.35</v>
      </c>
      <c r="S67" s="110">
        <f t="shared" si="14"/>
        <v>1249.49</v>
      </c>
      <c r="T67" s="110">
        <f t="shared" si="14"/>
        <v>110.749</v>
      </c>
      <c r="U67" s="110">
        <f t="shared" si="14"/>
        <v>102.68000000000002</v>
      </c>
      <c r="V67" s="110">
        <f t="shared" si="14"/>
        <v>384.76</v>
      </c>
      <c r="W67" s="110">
        <f t="shared" si="14"/>
        <v>7.3053333333333335</v>
      </c>
      <c r="X67" s="110">
        <f t="shared" si="14"/>
        <v>62.54</v>
      </c>
      <c r="Y67" s="110">
        <f t="shared" si="14"/>
        <v>24.808</v>
      </c>
    </row>
    <row r="68" spans="1:25" s="20" customFormat="1" ht="22.05" customHeight="1" x14ac:dyDescent="0.3">
      <c r="B68" s="39"/>
      <c r="C68" s="40"/>
      <c r="D68" s="40"/>
      <c r="E68" s="90"/>
      <c r="F68" s="97"/>
      <c r="G68" s="97"/>
      <c r="H68" s="97"/>
      <c r="I68" s="97"/>
      <c r="J68" s="90"/>
      <c r="K68" s="124"/>
      <c r="L68" s="124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</row>
    <row r="69" spans="1:25" s="48" customFormat="1" ht="22.05" customHeight="1" x14ac:dyDescent="0.3">
      <c r="A69" s="20"/>
      <c r="B69" s="292"/>
      <c r="C69" s="292"/>
      <c r="D69" s="292"/>
      <c r="E69" s="20"/>
      <c r="F69" s="20"/>
      <c r="G69" s="20"/>
      <c r="H69" s="20"/>
      <c r="I69" s="59"/>
      <c r="J69" s="59"/>
      <c r="K69" s="124"/>
      <c r="L69" s="124"/>
    </row>
    <row r="70" spans="1:25" s="48" customFormat="1" ht="22.05" customHeight="1" x14ac:dyDescent="0.3">
      <c r="A70" s="20"/>
      <c r="B70" s="252" t="s">
        <v>61</v>
      </c>
      <c r="C70" s="252"/>
      <c r="D70" s="252"/>
      <c r="E70" s="252"/>
      <c r="F70" s="252"/>
      <c r="G70" s="252"/>
      <c r="H70" s="252"/>
      <c r="I70" s="252"/>
      <c r="J70" s="252"/>
      <c r="K70" s="252"/>
      <c r="L70" s="124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</row>
    <row r="71" spans="1:25" s="48" customFormat="1" ht="22.05" customHeight="1" x14ac:dyDescent="0.3">
      <c r="A71" s="20"/>
      <c r="B71" s="253" t="s">
        <v>73</v>
      </c>
      <c r="C71" s="259" t="s">
        <v>1</v>
      </c>
      <c r="D71" s="260"/>
      <c r="E71" s="253" t="s">
        <v>74</v>
      </c>
      <c r="F71" s="255" t="s">
        <v>3</v>
      </c>
      <c r="G71" s="256"/>
      <c r="H71" s="256"/>
      <c r="I71" s="253" t="s">
        <v>145</v>
      </c>
      <c r="J71" s="255" t="s">
        <v>75</v>
      </c>
      <c r="K71" s="257" t="s">
        <v>185</v>
      </c>
      <c r="L71" s="127"/>
      <c r="M71" s="237" t="s">
        <v>159</v>
      </c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</row>
    <row r="72" spans="1:25" s="48" customFormat="1" ht="45" customHeight="1" x14ac:dyDescent="0.3">
      <c r="A72" s="20"/>
      <c r="B72" s="254"/>
      <c r="C72" s="261"/>
      <c r="D72" s="262"/>
      <c r="E72" s="254"/>
      <c r="F72" s="35" t="s">
        <v>142</v>
      </c>
      <c r="G72" s="35" t="s">
        <v>143</v>
      </c>
      <c r="H72" s="35" t="s">
        <v>144</v>
      </c>
      <c r="I72" s="254"/>
      <c r="J72" s="255"/>
      <c r="K72" s="258"/>
      <c r="L72" s="128"/>
      <c r="M72" s="238" t="s">
        <v>104</v>
      </c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</row>
    <row r="73" spans="1:25" s="50" customFormat="1" ht="22.05" customHeight="1" x14ac:dyDescent="0.3">
      <c r="A73" s="14"/>
      <c r="B73" s="245" t="s">
        <v>104</v>
      </c>
      <c r="C73" s="246"/>
      <c r="D73" s="246"/>
      <c r="E73" s="246"/>
      <c r="F73" s="246"/>
      <c r="G73" s="246"/>
      <c r="H73" s="246"/>
      <c r="I73" s="246"/>
      <c r="J73" s="246"/>
      <c r="K73" s="247"/>
      <c r="L73" s="153"/>
      <c r="M73" s="85" t="s">
        <v>146</v>
      </c>
      <c r="N73" s="85" t="s">
        <v>147</v>
      </c>
      <c r="O73" s="85" t="s">
        <v>148</v>
      </c>
      <c r="P73" s="85" t="s">
        <v>150</v>
      </c>
      <c r="Q73" s="85" t="s">
        <v>149</v>
      </c>
      <c r="R73" s="85" t="s">
        <v>151</v>
      </c>
      <c r="S73" s="85" t="s">
        <v>152</v>
      </c>
      <c r="T73" s="85" t="s">
        <v>153</v>
      </c>
      <c r="U73" s="85" t="s">
        <v>154</v>
      </c>
      <c r="V73" s="85" t="s">
        <v>155</v>
      </c>
      <c r="W73" s="85" t="s">
        <v>156</v>
      </c>
      <c r="X73" s="85" t="s">
        <v>157</v>
      </c>
      <c r="Y73" s="85" t="s">
        <v>158</v>
      </c>
    </row>
    <row r="74" spans="1:25" s="120" customFormat="1" ht="22.05" customHeight="1" x14ac:dyDescent="0.3">
      <c r="A74" s="20"/>
      <c r="B74" s="268" t="s">
        <v>4</v>
      </c>
      <c r="C74" s="291" t="s">
        <v>209</v>
      </c>
      <c r="D74" s="291"/>
      <c r="E74" s="51">
        <v>80</v>
      </c>
      <c r="F74" s="52">
        <v>1.63</v>
      </c>
      <c r="G74" s="52">
        <v>5.03</v>
      </c>
      <c r="H74" s="52">
        <v>4.6500000000000004</v>
      </c>
      <c r="I74" s="52">
        <v>71</v>
      </c>
      <c r="J74" s="134">
        <v>22</v>
      </c>
      <c r="K74" s="145">
        <v>14.83</v>
      </c>
      <c r="L74" s="145"/>
      <c r="M74" s="119">
        <v>7.0000000000000007E-2</v>
      </c>
      <c r="N74" s="119">
        <v>7.0000000000000007E-2</v>
      </c>
      <c r="O74" s="119">
        <v>12</v>
      </c>
      <c r="P74" s="119">
        <v>0</v>
      </c>
      <c r="Q74" s="119">
        <v>2.5299999999999998</v>
      </c>
      <c r="R74" s="119">
        <v>0</v>
      </c>
      <c r="S74" s="119">
        <v>0</v>
      </c>
      <c r="T74" s="119">
        <v>12.59</v>
      </c>
      <c r="U74" s="119">
        <v>14.64</v>
      </c>
      <c r="V74" s="119">
        <v>53.13</v>
      </c>
      <c r="W74" s="119">
        <v>0.62</v>
      </c>
      <c r="X74" s="119">
        <v>0</v>
      </c>
      <c r="Y74" s="119">
        <v>0</v>
      </c>
    </row>
    <row r="75" spans="1:25" s="120" customFormat="1" ht="22.05" customHeight="1" x14ac:dyDescent="0.3">
      <c r="A75" s="20"/>
      <c r="B75" s="268"/>
      <c r="C75" s="248" t="s">
        <v>81</v>
      </c>
      <c r="D75" s="249"/>
      <c r="E75" s="51">
        <v>200</v>
      </c>
      <c r="F75" s="52">
        <v>3.93</v>
      </c>
      <c r="G75" s="52">
        <v>13.84</v>
      </c>
      <c r="H75" s="52">
        <v>13.01</v>
      </c>
      <c r="I75" s="52">
        <v>203</v>
      </c>
      <c r="J75" s="134" t="s">
        <v>82</v>
      </c>
      <c r="K75" s="145">
        <v>57.45</v>
      </c>
      <c r="L75" s="145"/>
      <c r="M75" s="119">
        <v>0.08</v>
      </c>
      <c r="N75" s="119">
        <v>0.13</v>
      </c>
      <c r="O75" s="119">
        <v>132</v>
      </c>
      <c r="P75" s="119">
        <v>4.47</v>
      </c>
      <c r="Q75" s="119">
        <v>32</v>
      </c>
      <c r="R75" s="119">
        <v>391.8</v>
      </c>
      <c r="S75" s="119">
        <v>444.8</v>
      </c>
      <c r="T75" s="119">
        <v>81.3</v>
      </c>
      <c r="U75" s="119">
        <v>32.549999999999997</v>
      </c>
      <c r="V75" s="119">
        <v>137.1</v>
      </c>
      <c r="W75" s="119">
        <v>2.08</v>
      </c>
      <c r="X75" s="119">
        <v>21.2</v>
      </c>
      <c r="Y75" s="119">
        <v>0.6</v>
      </c>
    </row>
    <row r="76" spans="1:25" s="48" customFormat="1" ht="22.05" customHeight="1" x14ac:dyDescent="0.3">
      <c r="A76" s="20"/>
      <c r="B76" s="268"/>
      <c r="C76" s="248" t="s">
        <v>114</v>
      </c>
      <c r="D76" s="249"/>
      <c r="E76" s="51">
        <v>40</v>
      </c>
      <c r="F76" s="52">
        <f>F16/100*40</f>
        <v>3.04</v>
      </c>
      <c r="G76" s="52">
        <f t="shared" ref="G76:I76" si="15">G16/100*40</f>
        <v>0.36000000000000004</v>
      </c>
      <c r="H76" s="52">
        <f t="shared" si="15"/>
        <v>19.880000000000003</v>
      </c>
      <c r="I76" s="52">
        <f t="shared" si="15"/>
        <v>90.399999999999991</v>
      </c>
      <c r="J76" s="135" t="s">
        <v>63</v>
      </c>
      <c r="K76" s="145">
        <v>3.64</v>
      </c>
      <c r="L76" s="145"/>
      <c r="M76" s="87">
        <f>M10/30*40</f>
        <v>0.16400000000000001</v>
      </c>
      <c r="N76" s="87">
        <f t="shared" ref="N76:Y76" si="16">N10/30*40</f>
        <v>0.10133333333333333</v>
      </c>
      <c r="O76" s="87">
        <f t="shared" si="16"/>
        <v>0</v>
      </c>
      <c r="P76" s="87">
        <f t="shared" si="16"/>
        <v>2.2400000000000002</v>
      </c>
      <c r="Q76" s="87">
        <f t="shared" si="16"/>
        <v>0.08</v>
      </c>
      <c r="R76" s="87">
        <f t="shared" si="16"/>
        <v>189.20000000000002</v>
      </c>
      <c r="S76" s="87">
        <f t="shared" si="16"/>
        <v>50</v>
      </c>
      <c r="T76" s="87">
        <f t="shared" si="16"/>
        <v>1.96</v>
      </c>
      <c r="U76" s="87">
        <f t="shared" si="16"/>
        <v>16.400000000000002</v>
      </c>
      <c r="V76" s="87">
        <f t="shared" si="16"/>
        <v>51.6</v>
      </c>
      <c r="W76" s="87">
        <f t="shared" si="16"/>
        <v>1.4400000000000002</v>
      </c>
      <c r="X76" s="87">
        <f t="shared" si="16"/>
        <v>0</v>
      </c>
      <c r="Y76" s="87">
        <f t="shared" si="16"/>
        <v>11.520000000000001</v>
      </c>
    </row>
    <row r="77" spans="1:25" s="48" customFormat="1" ht="22.05" customHeight="1" x14ac:dyDescent="0.3">
      <c r="A77" s="20"/>
      <c r="B77" s="268"/>
      <c r="C77" s="248" t="s">
        <v>118</v>
      </c>
      <c r="D77" s="249"/>
      <c r="E77" s="51">
        <v>28</v>
      </c>
      <c r="F77" s="52">
        <f>F17/100*28</f>
        <v>1.3160000000000001</v>
      </c>
      <c r="G77" s="52">
        <f t="shared" ref="G77:I77" si="17">G17/100*28</f>
        <v>0.19599999999999998</v>
      </c>
      <c r="H77" s="52">
        <f t="shared" si="17"/>
        <v>13.943999999999999</v>
      </c>
      <c r="I77" s="52">
        <f t="shared" si="17"/>
        <v>59.92</v>
      </c>
      <c r="J77" s="135" t="s">
        <v>63</v>
      </c>
      <c r="K77" s="145">
        <v>2.5499999999999998</v>
      </c>
      <c r="L77" s="145"/>
      <c r="M77" s="87">
        <f>M11/30*28</f>
        <v>0.12133333333333332</v>
      </c>
      <c r="N77" s="87">
        <f t="shared" ref="N77:Y77" si="18">N11/30*28</f>
        <v>9.3333333333333338E-2</v>
      </c>
      <c r="O77" s="87">
        <f t="shared" si="18"/>
        <v>0</v>
      </c>
      <c r="P77" s="87">
        <f t="shared" si="18"/>
        <v>1.0640000000000001</v>
      </c>
      <c r="Q77" s="87">
        <f t="shared" si="18"/>
        <v>0.112</v>
      </c>
      <c r="R77" s="87">
        <f t="shared" si="18"/>
        <v>168.84</v>
      </c>
      <c r="S77" s="87">
        <f t="shared" si="18"/>
        <v>20.439999999999998</v>
      </c>
      <c r="T77" s="87">
        <f t="shared" si="18"/>
        <v>0.33600000000000002</v>
      </c>
      <c r="U77" s="87">
        <f t="shared" si="18"/>
        <v>11.200000000000001</v>
      </c>
      <c r="V77" s="87">
        <f t="shared" si="18"/>
        <v>35</v>
      </c>
      <c r="W77" s="87">
        <f t="shared" si="18"/>
        <v>0.79333333333333333</v>
      </c>
      <c r="X77" s="87">
        <f t="shared" si="18"/>
        <v>0</v>
      </c>
      <c r="Y77" s="87">
        <f t="shared" si="18"/>
        <v>8.6519999999999992</v>
      </c>
    </row>
    <row r="78" spans="1:25" s="48" customFormat="1" ht="22.05" customHeight="1" x14ac:dyDescent="0.3">
      <c r="A78" s="20"/>
      <c r="B78" s="268"/>
      <c r="C78" s="248" t="s">
        <v>210</v>
      </c>
      <c r="D78" s="249"/>
      <c r="E78" s="51">
        <v>200</v>
      </c>
      <c r="F78" s="52">
        <v>0.18</v>
      </c>
      <c r="G78" s="52">
        <v>0.04</v>
      </c>
      <c r="H78" s="52">
        <v>21.74</v>
      </c>
      <c r="I78" s="52">
        <v>82.68</v>
      </c>
      <c r="J78" s="134">
        <v>1201</v>
      </c>
      <c r="K78" s="145">
        <v>8.5299999999999994</v>
      </c>
      <c r="L78" s="145"/>
      <c r="M78" s="87">
        <v>0</v>
      </c>
      <c r="N78" s="87">
        <v>0</v>
      </c>
      <c r="O78" s="87">
        <v>0</v>
      </c>
      <c r="P78" s="87">
        <v>0.04</v>
      </c>
      <c r="Q78" s="87">
        <v>3.57</v>
      </c>
      <c r="R78" s="87">
        <v>3.57</v>
      </c>
      <c r="S78" s="87">
        <v>39.299999999999997</v>
      </c>
      <c r="T78" s="87">
        <v>7.14</v>
      </c>
      <c r="U78" s="87">
        <v>3.57</v>
      </c>
      <c r="V78" s="87">
        <v>3.57</v>
      </c>
      <c r="W78" s="87">
        <v>0</v>
      </c>
      <c r="X78" s="87">
        <v>0</v>
      </c>
      <c r="Y78" s="87">
        <v>0</v>
      </c>
    </row>
    <row r="79" spans="1:25" s="48" customFormat="1" ht="22.05" customHeight="1" x14ac:dyDescent="0.3">
      <c r="B79" s="216"/>
      <c r="C79" s="300" t="s">
        <v>66</v>
      </c>
      <c r="D79" s="300"/>
      <c r="E79" s="68">
        <v>50</v>
      </c>
      <c r="F79" s="61">
        <v>0.7</v>
      </c>
      <c r="G79" s="61">
        <v>3.45</v>
      </c>
      <c r="H79" s="61">
        <v>11.45</v>
      </c>
      <c r="I79" s="61">
        <v>80</v>
      </c>
      <c r="J79" s="62" t="s">
        <v>63</v>
      </c>
      <c r="K79" s="147">
        <v>15</v>
      </c>
      <c r="L79" s="213"/>
      <c r="M79" s="140">
        <v>0.06</v>
      </c>
      <c r="N79" s="87">
        <v>0.04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19.28</v>
      </c>
      <c r="U79" s="87">
        <v>0</v>
      </c>
      <c r="V79" s="87">
        <v>0</v>
      </c>
      <c r="W79" s="87">
        <v>1.04</v>
      </c>
      <c r="X79" s="87">
        <v>0</v>
      </c>
      <c r="Y79" s="87">
        <v>0</v>
      </c>
    </row>
    <row r="80" spans="1:25" s="48" customFormat="1" ht="22.05" customHeight="1" x14ac:dyDescent="0.3">
      <c r="A80" s="14"/>
      <c r="B80" s="44"/>
      <c r="C80" s="263" t="s">
        <v>108</v>
      </c>
      <c r="D80" s="264"/>
      <c r="E80" s="45">
        <f>SUM(E74:E79)</f>
        <v>598</v>
      </c>
      <c r="F80" s="45">
        <f>SUM(F74:F79)</f>
        <v>10.796000000000001</v>
      </c>
      <c r="G80" s="45">
        <f>SUM(G74:G79)</f>
        <v>22.916</v>
      </c>
      <c r="H80" s="45">
        <f>SUM(H74:H79)</f>
        <v>84.674000000000007</v>
      </c>
      <c r="I80" s="45">
        <f>SUM(I74:I79)</f>
        <v>587</v>
      </c>
      <c r="J80" s="138"/>
      <c r="K80" s="58">
        <f>SUM(K74:K79)</f>
        <v>102</v>
      </c>
      <c r="L80" s="145"/>
      <c r="M80" s="109">
        <f>SUM(M74:M79)</f>
        <v>0.49533333333333335</v>
      </c>
      <c r="N80" s="109">
        <f t="shared" ref="N80:Y80" si="19">SUM(N74:N79)</f>
        <v>0.43466666666666665</v>
      </c>
      <c r="O80" s="109">
        <f t="shared" si="19"/>
        <v>144</v>
      </c>
      <c r="P80" s="109">
        <f t="shared" si="19"/>
        <v>7.8140000000000001</v>
      </c>
      <c r="Q80" s="109">
        <f t="shared" si="19"/>
        <v>38.292000000000002</v>
      </c>
      <c r="R80" s="109">
        <f t="shared" si="19"/>
        <v>753.41000000000008</v>
      </c>
      <c r="S80" s="109">
        <f t="shared" si="19"/>
        <v>554.54</v>
      </c>
      <c r="T80" s="109">
        <f t="shared" si="19"/>
        <v>122.60599999999999</v>
      </c>
      <c r="U80" s="109">
        <f t="shared" si="19"/>
        <v>78.36</v>
      </c>
      <c r="V80" s="109">
        <f t="shared" si="19"/>
        <v>280.39999999999998</v>
      </c>
      <c r="W80" s="109">
        <f t="shared" si="19"/>
        <v>5.9733333333333336</v>
      </c>
      <c r="X80" s="109">
        <f t="shared" si="19"/>
        <v>21.2</v>
      </c>
      <c r="Y80" s="109">
        <f t="shared" si="19"/>
        <v>20.771999999999998</v>
      </c>
    </row>
    <row r="81" spans="1:25" s="48" customFormat="1" ht="22.05" customHeight="1" x14ac:dyDescent="0.3">
      <c r="A81" s="14"/>
      <c r="B81" s="36"/>
      <c r="C81" s="31"/>
      <c r="D81" s="31"/>
      <c r="E81" s="14"/>
      <c r="F81" s="14"/>
      <c r="G81" s="14"/>
      <c r="H81" s="14"/>
      <c r="I81" s="14"/>
      <c r="J81" s="14"/>
      <c r="K81" s="124"/>
      <c r="L81" s="124"/>
    </row>
    <row r="82" spans="1:25" s="48" customFormat="1" ht="22.05" customHeight="1" x14ac:dyDescent="0.3">
      <c r="A82" s="20"/>
      <c r="B82" s="292"/>
      <c r="C82" s="292"/>
      <c r="D82" s="292"/>
      <c r="E82" s="21"/>
      <c r="F82" s="21"/>
      <c r="G82" s="21"/>
      <c r="H82" s="21"/>
      <c r="I82" s="21"/>
      <c r="J82" s="21"/>
      <c r="K82" s="124"/>
      <c r="L82" s="124"/>
    </row>
    <row r="83" spans="1:25" s="48" customFormat="1" ht="22.05" customHeight="1" x14ac:dyDescent="0.3">
      <c r="A83" s="20"/>
      <c r="B83" s="252" t="s">
        <v>60</v>
      </c>
      <c r="C83" s="252"/>
      <c r="D83" s="252"/>
      <c r="E83" s="252"/>
      <c r="F83" s="252"/>
      <c r="G83" s="252"/>
      <c r="H83" s="252"/>
      <c r="I83" s="252"/>
      <c r="J83" s="252"/>
      <c r="K83" s="252"/>
      <c r="L83" s="124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</row>
    <row r="84" spans="1:25" s="48" customFormat="1" ht="22.05" customHeight="1" x14ac:dyDescent="0.3">
      <c r="A84" s="20"/>
      <c r="B84" s="253" t="s">
        <v>73</v>
      </c>
      <c r="C84" s="259" t="s">
        <v>1</v>
      </c>
      <c r="D84" s="260"/>
      <c r="E84" s="253" t="s">
        <v>74</v>
      </c>
      <c r="F84" s="255" t="s">
        <v>3</v>
      </c>
      <c r="G84" s="256"/>
      <c r="H84" s="256"/>
      <c r="I84" s="253" t="s">
        <v>145</v>
      </c>
      <c r="J84" s="255" t="s">
        <v>75</v>
      </c>
      <c r="K84" s="257" t="s">
        <v>185</v>
      </c>
      <c r="L84" s="127"/>
      <c r="M84" s="237" t="s">
        <v>159</v>
      </c>
      <c r="N84" s="237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</row>
    <row r="85" spans="1:25" s="48" customFormat="1" ht="42.6" customHeight="1" x14ac:dyDescent="0.3">
      <c r="A85" s="20"/>
      <c r="B85" s="254"/>
      <c r="C85" s="261"/>
      <c r="D85" s="262"/>
      <c r="E85" s="254"/>
      <c r="F85" s="35" t="s">
        <v>142</v>
      </c>
      <c r="G85" s="35" t="s">
        <v>143</v>
      </c>
      <c r="H85" s="35" t="s">
        <v>144</v>
      </c>
      <c r="I85" s="254"/>
      <c r="J85" s="255"/>
      <c r="K85" s="258"/>
      <c r="L85" s="128"/>
      <c r="M85" s="238" t="s">
        <v>93</v>
      </c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</row>
    <row r="86" spans="1:25" s="50" customFormat="1" ht="22.05" customHeight="1" x14ac:dyDescent="0.3">
      <c r="A86" s="14"/>
      <c r="B86" s="245" t="s">
        <v>93</v>
      </c>
      <c r="C86" s="246"/>
      <c r="D86" s="246"/>
      <c r="E86" s="246"/>
      <c r="F86" s="246"/>
      <c r="G86" s="246"/>
      <c r="H86" s="246"/>
      <c r="I86" s="246"/>
      <c r="J86" s="246"/>
      <c r="K86" s="247"/>
      <c r="L86" s="153"/>
      <c r="M86" s="85" t="s">
        <v>146</v>
      </c>
      <c r="N86" s="85" t="s">
        <v>147</v>
      </c>
      <c r="O86" s="85" t="s">
        <v>148</v>
      </c>
      <c r="P86" s="85" t="s">
        <v>150</v>
      </c>
      <c r="Q86" s="85" t="s">
        <v>149</v>
      </c>
      <c r="R86" s="85" t="s">
        <v>151</v>
      </c>
      <c r="S86" s="85" t="s">
        <v>152</v>
      </c>
      <c r="T86" s="85" t="s">
        <v>153</v>
      </c>
      <c r="U86" s="85" t="s">
        <v>154</v>
      </c>
      <c r="V86" s="85" t="s">
        <v>155</v>
      </c>
      <c r="W86" s="85" t="s">
        <v>156</v>
      </c>
      <c r="X86" s="85" t="s">
        <v>157</v>
      </c>
      <c r="Y86" s="85" t="s">
        <v>158</v>
      </c>
    </row>
    <row r="87" spans="1:25" s="48" customFormat="1" ht="28.2" customHeight="1" x14ac:dyDescent="0.3">
      <c r="A87" s="20"/>
      <c r="B87" s="217"/>
      <c r="C87" s="248" t="s">
        <v>107</v>
      </c>
      <c r="D87" s="249"/>
      <c r="E87" s="51">
        <v>60</v>
      </c>
      <c r="F87" s="52">
        <v>2.2000000000000002</v>
      </c>
      <c r="G87" s="52">
        <v>5.5</v>
      </c>
      <c r="H87" s="52">
        <v>2.6</v>
      </c>
      <c r="I87" s="52">
        <v>68.400000000000006</v>
      </c>
      <c r="J87" s="53">
        <v>7</v>
      </c>
      <c r="K87" s="145">
        <v>9.9499999999999993</v>
      </c>
      <c r="L87" s="145"/>
      <c r="M87" s="87">
        <v>0.04</v>
      </c>
      <c r="N87" s="87">
        <v>0.06</v>
      </c>
      <c r="O87" s="87">
        <v>15</v>
      </c>
      <c r="P87" s="87">
        <v>0</v>
      </c>
      <c r="Q87" s="87">
        <v>5.9</v>
      </c>
      <c r="R87" s="87">
        <v>0</v>
      </c>
      <c r="S87" s="87">
        <v>0</v>
      </c>
      <c r="T87" s="87">
        <v>22.36</v>
      </c>
      <c r="U87" s="87">
        <v>9.16</v>
      </c>
      <c r="V87" s="87">
        <v>39.590000000000003</v>
      </c>
      <c r="W87" s="87">
        <v>0.49</v>
      </c>
      <c r="X87" s="87">
        <v>0</v>
      </c>
      <c r="Y87" s="87">
        <v>0</v>
      </c>
    </row>
    <row r="88" spans="1:25" s="48" customFormat="1" ht="22.05" customHeight="1" x14ac:dyDescent="0.3">
      <c r="B88" s="268" t="s">
        <v>9</v>
      </c>
      <c r="C88" s="298" t="s">
        <v>10</v>
      </c>
      <c r="D88" s="299"/>
      <c r="E88" s="60">
        <v>150</v>
      </c>
      <c r="F88" s="61">
        <v>8.1999999999999993</v>
      </c>
      <c r="G88" s="61">
        <v>6.5</v>
      </c>
      <c r="H88" s="61">
        <v>42.8</v>
      </c>
      <c r="I88" s="61">
        <v>262.5</v>
      </c>
      <c r="J88" s="137" t="s">
        <v>65</v>
      </c>
      <c r="K88" s="147">
        <v>11.13</v>
      </c>
      <c r="L88" s="149"/>
      <c r="M88" s="87">
        <v>0.21</v>
      </c>
      <c r="N88" s="87">
        <v>0.12</v>
      </c>
      <c r="O88" s="87">
        <v>27.5</v>
      </c>
      <c r="P88" s="87">
        <v>3.98</v>
      </c>
      <c r="Q88" s="87">
        <v>0</v>
      </c>
      <c r="R88" s="87">
        <v>149</v>
      </c>
      <c r="S88" s="87">
        <v>219</v>
      </c>
      <c r="T88" s="87">
        <v>14</v>
      </c>
      <c r="U88" s="87">
        <v>120</v>
      </c>
      <c r="V88" s="87">
        <v>180</v>
      </c>
      <c r="W88" s="87">
        <v>4</v>
      </c>
      <c r="X88" s="87">
        <v>22.3</v>
      </c>
      <c r="Y88" s="87">
        <v>3.5</v>
      </c>
    </row>
    <row r="89" spans="1:25" s="120" customFormat="1" ht="22.05" customHeight="1" x14ac:dyDescent="0.3">
      <c r="A89" s="20"/>
      <c r="B89" s="268"/>
      <c r="C89" s="248" t="s">
        <v>196</v>
      </c>
      <c r="D89" s="249"/>
      <c r="E89" s="51">
        <v>110</v>
      </c>
      <c r="F89" s="52">
        <v>14.8</v>
      </c>
      <c r="G89" s="52">
        <v>4.08</v>
      </c>
      <c r="H89" s="52">
        <v>2.95</v>
      </c>
      <c r="I89" s="52">
        <v>108.7</v>
      </c>
      <c r="J89" s="134">
        <v>311</v>
      </c>
      <c r="K89" s="145">
        <v>38.03</v>
      </c>
      <c r="L89" s="145"/>
      <c r="M89" s="119">
        <v>0.09</v>
      </c>
      <c r="N89" s="119">
        <v>0.11</v>
      </c>
      <c r="O89" s="119">
        <v>68.72</v>
      </c>
      <c r="P89" s="119">
        <v>4.26</v>
      </c>
      <c r="Q89" s="119">
        <v>2.63</v>
      </c>
      <c r="R89" s="119">
        <v>252.32</v>
      </c>
      <c r="S89" s="119">
        <v>3.95</v>
      </c>
      <c r="T89" s="119">
        <v>13.5</v>
      </c>
      <c r="U89" s="119">
        <v>15.7</v>
      </c>
      <c r="V89" s="119">
        <v>116.1</v>
      </c>
      <c r="W89" s="119">
        <v>1.02</v>
      </c>
      <c r="X89" s="119">
        <v>35.83</v>
      </c>
      <c r="Y89" s="119">
        <v>0</v>
      </c>
    </row>
    <row r="90" spans="1:25" s="48" customFormat="1" ht="22.05" customHeight="1" x14ac:dyDescent="0.3">
      <c r="A90" s="20"/>
      <c r="B90" s="268"/>
      <c r="C90" s="248" t="s">
        <v>110</v>
      </c>
      <c r="D90" s="249"/>
      <c r="E90" s="51">
        <v>34</v>
      </c>
      <c r="F90" s="52">
        <f>F16/100*34</f>
        <v>2.5840000000000001</v>
      </c>
      <c r="G90" s="52">
        <f t="shared" ref="G90:I90" si="20">G16/100*34</f>
        <v>0.30600000000000005</v>
      </c>
      <c r="H90" s="52">
        <f t="shared" si="20"/>
        <v>16.898000000000003</v>
      </c>
      <c r="I90" s="52">
        <f t="shared" si="20"/>
        <v>76.839999999999989</v>
      </c>
      <c r="J90" s="135" t="s">
        <v>63</v>
      </c>
      <c r="K90" s="145">
        <v>3.09</v>
      </c>
      <c r="L90" s="145"/>
      <c r="M90" s="87">
        <f>M10/30*34</f>
        <v>0.13940000000000002</v>
      </c>
      <c r="N90" s="87">
        <f t="shared" ref="N90:Y90" si="21">N10/30*34</f>
        <v>8.6133333333333326E-2</v>
      </c>
      <c r="O90" s="87">
        <f t="shared" si="21"/>
        <v>0</v>
      </c>
      <c r="P90" s="87">
        <f t="shared" si="21"/>
        <v>1.9040000000000001</v>
      </c>
      <c r="Q90" s="87">
        <f t="shared" si="21"/>
        <v>6.8000000000000005E-2</v>
      </c>
      <c r="R90" s="87">
        <f t="shared" si="21"/>
        <v>160.82000000000002</v>
      </c>
      <c r="S90" s="87">
        <f t="shared" si="21"/>
        <v>42.5</v>
      </c>
      <c r="T90" s="87">
        <f t="shared" si="21"/>
        <v>1.6660000000000001</v>
      </c>
      <c r="U90" s="87">
        <f t="shared" si="21"/>
        <v>13.940000000000001</v>
      </c>
      <c r="V90" s="87">
        <f t="shared" si="21"/>
        <v>43.86</v>
      </c>
      <c r="W90" s="87">
        <f t="shared" si="21"/>
        <v>1.2240000000000002</v>
      </c>
      <c r="X90" s="87">
        <f t="shared" si="21"/>
        <v>0</v>
      </c>
      <c r="Y90" s="87">
        <f t="shared" si="21"/>
        <v>9.7920000000000016</v>
      </c>
    </row>
    <row r="91" spans="1:25" s="48" customFormat="1" ht="22.05" customHeight="1" x14ac:dyDescent="0.3">
      <c r="A91" s="20"/>
      <c r="B91" s="268"/>
      <c r="C91" s="248" t="s">
        <v>118</v>
      </c>
      <c r="D91" s="249"/>
      <c r="E91" s="51">
        <v>28</v>
      </c>
      <c r="F91" s="52">
        <f>F17/100*28</f>
        <v>1.3160000000000001</v>
      </c>
      <c r="G91" s="52">
        <f t="shared" ref="G91:I91" si="22">G17/100*28</f>
        <v>0.19599999999999998</v>
      </c>
      <c r="H91" s="52">
        <f t="shared" si="22"/>
        <v>13.943999999999999</v>
      </c>
      <c r="I91" s="52">
        <f t="shared" si="22"/>
        <v>59.92</v>
      </c>
      <c r="J91" s="135" t="s">
        <v>63</v>
      </c>
      <c r="K91" s="145">
        <v>2.5499999999999998</v>
      </c>
      <c r="L91" s="145"/>
      <c r="M91" s="87">
        <f>M11/30*28</f>
        <v>0.12133333333333332</v>
      </c>
      <c r="N91" s="87">
        <f t="shared" ref="N91:Y91" si="23">N11/30*28</f>
        <v>9.3333333333333338E-2</v>
      </c>
      <c r="O91" s="87">
        <f t="shared" si="23"/>
        <v>0</v>
      </c>
      <c r="P91" s="87">
        <f t="shared" si="23"/>
        <v>1.0640000000000001</v>
      </c>
      <c r="Q91" s="87">
        <f t="shared" si="23"/>
        <v>0.112</v>
      </c>
      <c r="R91" s="87">
        <f t="shared" si="23"/>
        <v>168.84</v>
      </c>
      <c r="S91" s="87">
        <f t="shared" si="23"/>
        <v>20.439999999999998</v>
      </c>
      <c r="T91" s="87">
        <f t="shared" si="23"/>
        <v>0.33600000000000002</v>
      </c>
      <c r="U91" s="87">
        <f t="shared" si="23"/>
        <v>11.200000000000001</v>
      </c>
      <c r="V91" s="87">
        <f t="shared" si="23"/>
        <v>35</v>
      </c>
      <c r="W91" s="87">
        <f t="shared" si="23"/>
        <v>0.79333333333333333</v>
      </c>
      <c r="X91" s="87">
        <f t="shared" si="23"/>
        <v>0</v>
      </c>
      <c r="Y91" s="87">
        <f t="shared" si="23"/>
        <v>8.6519999999999992</v>
      </c>
    </row>
    <row r="92" spans="1:25" s="48" customFormat="1" ht="22.05" customHeight="1" x14ac:dyDescent="0.3">
      <c r="A92" s="20"/>
      <c r="B92" s="268"/>
      <c r="C92" s="248" t="s">
        <v>216</v>
      </c>
      <c r="D92" s="249"/>
      <c r="E92" s="51">
        <v>200</v>
      </c>
      <c r="F92" s="52">
        <v>0.2</v>
      </c>
      <c r="G92" s="52">
        <v>0</v>
      </c>
      <c r="H92" s="52">
        <v>6.4</v>
      </c>
      <c r="I92" s="52">
        <v>26.4</v>
      </c>
      <c r="J92" s="134" t="s">
        <v>23</v>
      </c>
      <c r="K92" s="145">
        <v>1.25</v>
      </c>
      <c r="L92" s="145"/>
      <c r="M92" s="87">
        <v>0</v>
      </c>
      <c r="N92" s="87">
        <v>0</v>
      </c>
      <c r="O92" s="87">
        <v>0</v>
      </c>
      <c r="P92" s="87">
        <v>0.1</v>
      </c>
      <c r="Q92" s="87">
        <v>0</v>
      </c>
      <c r="R92" s="87">
        <v>1</v>
      </c>
      <c r="S92" s="87">
        <v>25</v>
      </c>
      <c r="T92" s="87">
        <v>4</v>
      </c>
      <c r="U92" s="87">
        <v>4</v>
      </c>
      <c r="V92" s="87">
        <v>7</v>
      </c>
      <c r="W92" s="87">
        <v>1</v>
      </c>
      <c r="X92" s="87">
        <v>0</v>
      </c>
      <c r="Y92" s="87">
        <v>0</v>
      </c>
    </row>
    <row r="93" spans="1:25" s="50" customFormat="1" ht="22.05" customHeight="1" x14ac:dyDescent="0.3">
      <c r="A93" s="49"/>
      <c r="B93" s="268"/>
      <c r="C93" s="273" t="s">
        <v>44</v>
      </c>
      <c r="D93" s="274"/>
      <c r="E93" s="54">
        <v>200</v>
      </c>
      <c r="F93" s="55">
        <v>1.1000000000000001</v>
      </c>
      <c r="G93" s="55">
        <v>0.22</v>
      </c>
      <c r="H93" s="55">
        <v>25</v>
      </c>
      <c r="I93" s="55">
        <v>102</v>
      </c>
      <c r="J93" s="56" t="s">
        <v>63</v>
      </c>
      <c r="K93" s="146">
        <v>36</v>
      </c>
      <c r="L93" s="146"/>
      <c r="M93" s="129">
        <v>0.02</v>
      </c>
      <c r="N93" s="129">
        <v>0.02</v>
      </c>
      <c r="O93" s="129">
        <v>0</v>
      </c>
      <c r="P93" s="129">
        <v>0.04</v>
      </c>
      <c r="Q93" s="129">
        <v>4</v>
      </c>
      <c r="R93" s="129">
        <v>12</v>
      </c>
      <c r="S93" s="129">
        <v>240</v>
      </c>
      <c r="T93" s="129">
        <v>14</v>
      </c>
      <c r="U93" s="129">
        <v>8</v>
      </c>
      <c r="V93" s="129">
        <v>14</v>
      </c>
      <c r="W93" s="129">
        <v>2.8</v>
      </c>
      <c r="X93" s="129">
        <v>2</v>
      </c>
      <c r="Y93" s="129">
        <v>0</v>
      </c>
    </row>
    <row r="94" spans="1:25" s="48" customFormat="1" ht="22.05" customHeight="1" x14ac:dyDescent="0.3">
      <c r="A94" s="20"/>
      <c r="B94" s="43"/>
      <c r="C94" s="297" t="s">
        <v>108</v>
      </c>
      <c r="D94" s="297"/>
      <c r="E94" s="45">
        <f t="shared" ref="E94:K94" si="24">SUM(E87:E93)</f>
        <v>782</v>
      </c>
      <c r="F94" s="45">
        <f t="shared" si="24"/>
        <v>30.4</v>
      </c>
      <c r="G94" s="45">
        <f t="shared" si="24"/>
        <v>16.802</v>
      </c>
      <c r="H94" s="45">
        <f t="shared" si="24"/>
        <v>110.59200000000001</v>
      </c>
      <c r="I94" s="45">
        <f t="shared" si="24"/>
        <v>704.75999999999988</v>
      </c>
      <c r="J94" s="45">
        <f t="shared" si="24"/>
        <v>318</v>
      </c>
      <c r="K94" s="45">
        <f t="shared" si="24"/>
        <v>102</v>
      </c>
      <c r="L94" s="145"/>
      <c r="M94" s="109">
        <f t="shared" ref="M94:Y94" si="25">SUM(M87:M93)</f>
        <v>0.62073333333333336</v>
      </c>
      <c r="N94" s="109">
        <f t="shared" si="25"/>
        <v>0.48946666666666666</v>
      </c>
      <c r="O94" s="109">
        <f t="shared" si="25"/>
        <v>111.22</v>
      </c>
      <c r="P94" s="109">
        <f t="shared" si="25"/>
        <v>11.347999999999999</v>
      </c>
      <c r="Q94" s="109">
        <f t="shared" si="25"/>
        <v>12.71</v>
      </c>
      <c r="R94" s="109">
        <f t="shared" si="25"/>
        <v>743.98</v>
      </c>
      <c r="S94" s="109">
        <f t="shared" si="25"/>
        <v>550.89</v>
      </c>
      <c r="T94" s="109">
        <f t="shared" si="25"/>
        <v>69.861999999999995</v>
      </c>
      <c r="U94" s="109">
        <f t="shared" si="25"/>
        <v>181.99999999999997</v>
      </c>
      <c r="V94" s="109">
        <f t="shared" si="25"/>
        <v>435.55</v>
      </c>
      <c r="W94" s="109">
        <f t="shared" si="25"/>
        <v>11.327333333333332</v>
      </c>
      <c r="X94" s="109">
        <f t="shared" si="25"/>
        <v>60.129999999999995</v>
      </c>
      <c r="Y94" s="109">
        <f t="shared" si="25"/>
        <v>21.944000000000003</v>
      </c>
    </row>
    <row r="95" spans="1:25" s="120" customFormat="1" ht="22.05" customHeight="1" x14ac:dyDescent="0.3">
      <c r="A95" s="20"/>
      <c r="B95" s="39"/>
      <c r="C95" s="40"/>
      <c r="D95" s="40"/>
      <c r="E95" s="197"/>
      <c r="F95" s="97"/>
      <c r="G95" s="97"/>
      <c r="H95" s="97"/>
      <c r="I95" s="97"/>
      <c r="J95" s="197"/>
      <c r="K95" s="97"/>
      <c r="L95" s="97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</row>
    <row r="96" spans="1:25" s="50" customFormat="1" ht="22.05" customHeight="1" x14ac:dyDescent="0.3">
      <c r="A96" s="14"/>
      <c r="B96" s="36"/>
      <c r="C96" s="196"/>
      <c r="D96" s="196"/>
      <c r="E96" s="14"/>
      <c r="F96" s="37"/>
      <c r="G96" s="37"/>
      <c r="H96" s="37"/>
      <c r="I96" s="37"/>
      <c r="J96" s="14"/>
      <c r="K96" s="65"/>
      <c r="L96" s="65"/>
    </row>
    <row r="97" spans="1:25" s="48" customFormat="1" ht="22.05" customHeight="1" x14ac:dyDescent="0.3">
      <c r="A97" s="20"/>
      <c r="B97" s="252" t="s">
        <v>60</v>
      </c>
      <c r="C97" s="252"/>
      <c r="D97" s="252"/>
      <c r="E97" s="252"/>
      <c r="F97" s="252"/>
      <c r="G97" s="252"/>
      <c r="H97" s="252"/>
      <c r="I97" s="252"/>
      <c r="J97" s="252"/>
      <c r="K97" s="252"/>
      <c r="L97" s="124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</row>
    <row r="98" spans="1:25" s="48" customFormat="1" ht="22.05" customHeight="1" x14ac:dyDescent="0.3">
      <c r="A98" s="20"/>
      <c r="B98" s="253" t="s">
        <v>73</v>
      </c>
      <c r="C98" s="259" t="s">
        <v>1</v>
      </c>
      <c r="D98" s="260"/>
      <c r="E98" s="253" t="s">
        <v>74</v>
      </c>
      <c r="F98" s="255" t="s">
        <v>3</v>
      </c>
      <c r="G98" s="256"/>
      <c r="H98" s="256"/>
      <c r="I98" s="253" t="s">
        <v>145</v>
      </c>
      <c r="J98" s="255" t="s">
        <v>75</v>
      </c>
      <c r="K98" s="257" t="s">
        <v>185</v>
      </c>
      <c r="L98" s="127"/>
      <c r="M98" s="237" t="s">
        <v>159</v>
      </c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</row>
    <row r="99" spans="1:25" s="48" customFormat="1" ht="43.8" customHeight="1" x14ac:dyDescent="0.3">
      <c r="A99" s="20"/>
      <c r="B99" s="254"/>
      <c r="C99" s="261"/>
      <c r="D99" s="262"/>
      <c r="E99" s="254"/>
      <c r="F99" s="35" t="s">
        <v>142</v>
      </c>
      <c r="G99" s="35" t="s">
        <v>143</v>
      </c>
      <c r="H99" s="35" t="s">
        <v>144</v>
      </c>
      <c r="I99" s="254"/>
      <c r="J99" s="255"/>
      <c r="K99" s="258"/>
      <c r="L99" s="128"/>
      <c r="M99" s="238" t="s">
        <v>79</v>
      </c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</row>
    <row r="100" spans="1:25" s="48" customFormat="1" ht="22.05" customHeight="1" x14ac:dyDescent="0.3">
      <c r="A100" s="20"/>
      <c r="B100" s="245" t="s">
        <v>79</v>
      </c>
      <c r="C100" s="246"/>
      <c r="D100" s="246"/>
      <c r="E100" s="246"/>
      <c r="F100" s="246"/>
      <c r="G100" s="246"/>
      <c r="H100" s="246"/>
      <c r="I100" s="246"/>
      <c r="J100" s="246"/>
      <c r="K100" s="247"/>
      <c r="L100" s="153"/>
      <c r="M100" s="86" t="s">
        <v>146</v>
      </c>
      <c r="N100" s="86" t="s">
        <v>147</v>
      </c>
      <c r="O100" s="86" t="s">
        <v>148</v>
      </c>
      <c r="P100" s="86" t="s">
        <v>150</v>
      </c>
      <c r="Q100" s="86" t="s">
        <v>149</v>
      </c>
      <c r="R100" s="86" t="s">
        <v>151</v>
      </c>
      <c r="S100" s="86" t="s">
        <v>152</v>
      </c>
      <c r="T100" s="86" t="s">
        <v>153</v>
      </c>
      <c r="U100" s="86" t="s">
        <v>154</v>
      </c>
      <c r="V100" s="86" t="s">
        <v>155</v>
      </c>
      <c r="W100" s="86" t="s">
        <v>156</v>
      </c>
      <c r="X100" s="86" t="s">
        <v>157</v>
      </c>
      <c r="Y100" s="86" t="s">
        <v>158</v>
      </c>
    </row>
    <row r="101" spans="1:25" s="48" customFormat="1" ht="22.05" customHeight="1" x14ac:dyDescent="0.3">
      <c r="B101" s="281" t="s">
        <v>4</v>
      </c>
      <c r="C101" s="295" t="s">
        <v>211</v>
      </c>
      <c r="D101" s="296"/>
      <c r="E101" s="60">
        <v>70</v>
      </c>
      <c r="F101" s="61">
        <v>1.6</v>
      </c>
      <c r="G101" s="61">
        <v>5</v>
      </c>
      <c r="H101" s="61">
        <v>8.1999999999999993</v>
      </c>
      <c r="I101" s="61">
        <v>83.7</v>
      </c>
      <c r="J101" s="137" t="s">
        <v>212</v>
      </c>
      <c r="K101" s="147">
        <v>12.07</v>
      </c>
      <c r="L101" s="149"/>
      <c r="M101" s="87">
        <v>0.02</v>
      </c>
      <c r="N101" s="87">
        <v>0.01</v>
      </c>
      <c r="O101" s="87">
        <v>0</v>
      </c>
      <c r="P101" s="87">
        <v>0.23</v>
      </c>
      <c r="Q101" s="87">
        <v>4.67</v>
      </c>
      <c r="R101" s="87">
        <v>164.5</v>
      </c>
      <c r="S101" s="87">
        <v>173.83</v>
      </c>
      <c r="T101" s="87">
        <v>25.67</v>
      </c>
      <c r="U101" s="87">
        <v>21</v>
      </c>
      <c r="V101" s="87">
        <v>37.33</v>
      </c>
      <c r="W101" s="87">
        <v>1.17</v>
      </c>
      <c r="X101" s="87">
        <v>13.3</v>
      </c>
      <c r="Y101" s="87">
        <v>0.47</v>
      </c>
    </row>
    <row r="102" spans="1:25" s="120" customFormat="1" ht="22.05" customHeight="1" x14ac:dyDescent="0.3">
      <c r="A102" s="20"/>
      <c r="B102" s="282"/>
      <c r="C102" s="293" t="s">
        <v>34</v>
      </c>
      <c r="D102" s="294"/>
      <c r="E102" s="51">
        <v>170</v>
      </c>
      <c r="F102" s="52">
        <v>3</v>
      </c>
      <c r="G102" s="52">
        <v>5.7</v>
      </c>
      <c r="H102" s="52">
        <v>23.7</v>
      </c>
      <c r="I102" s="52">
        <v>158.30000000000001</v>
      </c>
      <c r="J102" s="134" t="s">
        <v>33</v>
      </c>
      <c r="K102" s="145">
        <v>24.29</v>
      </c>
      <c r="L102" s="145"/>
      <c r="M102" s="119">
        <v>0.16</v>
      </c>
      <c r="N102" s="119">
        <v>0.1</v>
      </c>
      <c r="O102" s="119">
        <v>31</v>
      </c>
      <c r="P102" s="119">
        <v>1.3</v>
      </c>
      <c r="Q102" s="119">
        <v>13</v>
      </c>
      <c r="R102" s="119">
        <v>319</v>
      </c>
      <c r="S102" s="119">
        <v>1003</v>
      </c>
      <c r="T102" s="119">
        <v>54</v>
      </c>
      <c r="U102" s="119">
        <v>39</v>
      </c>
      <c r="V102" s="119">
        <v>111</v>
      </c>
      <c r="W102" s="119">
        <v>1</v>
      </c>
      <c r="X102" s="119">
        <v>38</v>
      </c>
      <c r="Y102" s="119">
        <v>1.1000000000000001</v>
      </c>
    </row>
    <row r="103" spans="1:25" s="120" customFormat="1" ht="22.05" customHeight="1" x14ac:dyDescent="0.3">
      <c r="A103" s="20"/>
      <c r="B103" s="282"/>
      <c r="C103" s="291" t="s">
        <v>213</v>
      </c>
      <c r="D103" s="291"/>
      <c r="E103" s="51">
        <v>90</v>
      </c>
      <c r="F103" s="52">
        <v>11.8</v>
      </c>
      <c r="G103" s="52">
        <v>6.8</v>
      </c>
      <c r="H103" s="52">
        <v>2.8</v>
      </c>
      <c r="I103" s="52">
        <v>119.6</v>
      </c>
      <c r="J103" s="134" t="s">
        <v>214</v>
      </c>
      <c r="K103" s="145">
        <v>43.38</v>
      </c>
      <c r="L103" s="145"/>
      <c r="M103" s="119">
        <v>7.0000000000000007E-2</v>
      </c>
      <c r="N103" s="119">
        <v>0.12</v>
      </c>
      <c r="O103" s="119">
        <v>7.8</v>
      </c>
      <c r="P103" s="119">
        <v>0.7</v>
      </c>
      <c r="Q103" s="119">
        <v>1.1000000000000001</v>
      </c>
      <c r="R103" s="119">
        <v>102.4</v>
      </c>
      <c r="S103" s="119">
        <v>381.4</v>
      </c>
      <c r="T103" s="119">
        <v>36</v>
      </c>
      <c r="U103" s="119">
        <v>41.6</v>
      </c>
      <c r="V103" s="119">
        <v>31.5</v>
      </c>
      <c r="W103" s="119">
        <v>0</v>
      </c>
      <c r="X103" s="119">
        <v>120.2</v>
      </c>
      <c r="Y103" s="119">
        <v>10.8</v>
      </c>
    </row>
    <row r="104" spans="1:25" s="48" customFormat="1" ht="22.05" customHeight="1" x14ac:dyDescent="0.3">
      <c r="A104" s="20"/>
      <c r="B104" s="282"/>
      <c r="C104" s="248" t="s">
        <v>110</v>
      </c>
      <c r="D104" s="249"/>
      <c r="E104" s="51">
        <v>44</v>
      </c>
      <c r="F104" s="52">
        <v>2.2000000000000002</v>
      </c>
      <c r="G104" s="52">
        <v>0.26</v>
      </c>
      <c r="H104" s="52">
        <v>14.4</v>
      </c>
      <c r="I104" s="52">
        <v>65.48</v>
      </c>
      <c r="J104" s="135" t="s">
        <v>63</v>
      </c>
      <c r="K104" s="145">
        <v>4</v>
      </c>
      <c r="L104" s="145"/>
      <c r="M104" s="87">
        <f>M10/30*44</f>
        <v>0.1804</v>
      </c>
      <c r="N104" s="87">
        <f t="shared" ref="N104:Y104" si="26">N10/30*44</f>
        <v>0.11146666666666666</v>
      </c>
      <c r="O104" s="87">
        <f t="shared" si="26"/>
        <v>0</v>
      </c>
      <c r="P104" s="87">
        <f t="shared" si="26"/>
        <v>2.464</v>
      </c>
      <c r="Q104" s="87">
        <f t="shared" si="26"/>
        <v>8.7999999999999995E-2</v>
      </c>
      <c r="R104" s="87">
        <f t="shared" si="26"/>
        <v>208.12</v>
      </c>
      <c r="S104" s="87">
        <f t="shared" si="26"/>
        <v>55</v>
      </c>
      <c r="T104" s="87">
        <f t="shared" si="26"/>
        <v>2.1560000000000001</v>
      </c>
      <c r="U104" s="87">
        <f t="shared" si="26"/>
        <v>18.040000000000003</v>
      </c>
      <c r="V104" s="87">
        <f t="shared" si="26"/>
        <v>56.760000000000005</v>
      </c>
      <c r="W104" s="87">
        <f t="shared" si="26"/>
        <v>1.5840000000000001</v>
      </c>
      <c r="X104" s="87">
        <f t="shared" si="26"/>
        <v>0</v>
      </c>
      <c r="Y104" s="87">
        <f t="shared" si="26"/>
        <v>12.672000000000001</v>
      </c>
    </row>
    <row r="105" spans="1:25" s="48" customFormat="1" ht="22.05" customHeight="1" x14ac:dyDescent="0.3">
      <c r="A105" s="20"/>
      <c r="B105" s="282"/>
      <c r="C105" s="248" t="s">
        <v>118</v>
      </c>
      <c r="D105" s="249"/>
      <c r="E105" s="51">
        <v>28</v>
      </c>
      <c r="F105" s="52">
        <f>F17/100*28</f>
        <v>1.3160000000000001</v>
      </c>
      <c r="G105" s="52">
        <f>G17/100*28</f>
        <v>0.19599999999999998</v>
      </c>
      <c r="H105" s="52">
        <f>H17/100*28</f>
        <v>13.943999999999999</v>
      </c>
      <c r="I105" s="52">
        <f>I17/100*28</f>
        <v>59.92</v>
      </c>
      <c r="J105" s="135" t="s">
        <v>63</v>
      </c>
      <c r="K105" s="145">
        <v>2.5499999999999998</v>
      </c>
      <c r="L105" s="145"/>
      <c r="M105" s="87">
        <f t="shared" ref="M105:Y105" si="27">M11/30*28</f>
        <v>0.12133333333333332</v>
      </c>
      <c r="N105" s="87">
        <f t="shared" si="27"/>
        <v>9.3333333333333338E-2</v>
      </c>
      <c r="O105" s="87">
        <f t="shared" si="27"/>
        <v>0</v>
      </c>
      <c r="P105" s="87">
        <f t="shared" si="27"/>
        <v>1.0640000000000001</v>
      </c>
      <c r="Q105" s="87">
        <f t="shared" si="27"/>
        <v>0.112</v>
      </c>
      <c r="R105" s="87">
        <f t="shared" si="27"/>
        <v>168.84</v>
      </c>
      <c r="S105" s="87">
        <f t="shared" si="27"/>
        <v>20.439999999999998</v>
      </c>
      <c r="T105" s="87">
        <f t="shared" si="27"/>
        <v>0.33600000000000002</v>
      </c>
      <c r="U105" s="87">
        <f t="shared" si="27"/>
        <v>11.200000000000001</v>
      </c>
      <c r="V105" s="87">
        <f t="shared" si="27"/>
        <v>35</v>
      </c>
      <c r="W105" s="87">
        <f t="shared" si="27"/>
        <v>0.79333333333333333</v>
      </c>
      <c r="X105" s="87">
        <f t="shared" si="27"/>
        <v>0</v>
      </c>
      <c r="Y105" s="87">
        <f t="shared" si="27"/>
        <v>8.6519999999999992</v>
      </c>
    </row>
    <row r="106" spans="1:25" s="120" customFormat="1" ht="22.05" customHeight="1" x14ac:dyDescent="0.3">
      <c r="A106" s="20"/>
      <c r="B106" s="282"/>
      <c r="C106" s="280" t="s">
        <v>12</v>
      </c>
      <c r="D106" s="280"/>
      <c r="E106" s="51">
        <v>200</v>
      </c>
      <c r="F106" s="52">
        <v>2.6</v>
      </c>
      <c r="G106" s="52">
        <v>2.6</v>
      </c>
      <c r="H106" s="52">
        <v>16.8</v>
      </c>
      <c r="I106" s="52">
        <v>100.4</v>
      </c>
      <c r="J106" s="53" t="s">
        <v>11</v>
      </c>
      <c r="K106" s="145">
        <v>15.71</v>
      </c>
      <c r="L106" s="145"/>
      <c r="M106" s="119">
        <v>0</v>
      </c>
      <c r="N106" s="119">
        <v>0.13</v>
      </c>
      <c r="O106" s="119">
        <v>9.6</v>
      </c>
      <c r="P106" s="119">
        <v>0.12</v>
      </c>
      <c r="Q106" s="119">
        <v>0</v>
      </c>
      <c r="R106" s="119">
        <v>50</v>
      </c>
      <c r="S106" s="119">
        <v>199</v>
      </c>
      <c r="T106" s="119">
        <v>108</v>
      </c>
      <c r="U106" s="119">
        <v>26</v>
      </c>
      <c r="V106" s="119">
        <v>95</v>
      </c>
      <c r="W106" s="119">
        <v>1</v>
      </c>
      <c r="X106" s="119">
        <v>2.7</v>
      </c>
      <c r="Y106" s="119">
        <v>1</v>
      </c>
    </row>
    <row r="107" spans="1:25" s="48" customFormat="1" ht="22.05" customHeight="1" x14ac:dyDescent="0.3">
      <c r="A107" s="20"/>
      <c r="B107" s="84"/>
      <c r="C107" s="263" t="s">
        <v>108</v>
      </c>
      <c r="D107" s="264"/>
      <c r="E107" s="45">
        <f>SUM(E101:E106)</f>
        <v>602</v>
      </c>
      <c r="F107" s="58">
        <f>SUM(F101:F106)</f>
        <v>22.515999999999998</v>
      </c>
      <c r="G107" s="58">
        <f>SUM(G101:G106)</f>
        <v>20.556000000000004</v>
      </c>
      <c r="H107" s="58">
        <f>SUM(H101:H106)</f>
        <v>79.843999999999994</v>
      </c>
      <c r="I107" s="58">
        <f>SUM(I101:I106)</f>
        <v>587.40000000000009</v>
      </c>
      <c r="J107" s="74"/>
      <c r="K107" s="58">
        <f>SUM(K101:K106)</f>
        <v>102</v>
      </c>
      <c r="L107" s="145"/>
      <c r="M107" s="109">
        <f t="shared" ref="M107:Y107" si="28">SUM(M101:M106)</f>
        <v>0.5517333333333333</v>
      </c>
      <c r="N107" s="109">
        <f t="shared" si="28"/>
        <v>0.56479999999999997</v>
      </c>
      <c r="O107" s="109">
        <f t="shared" si="28"/>
        <v>48.4</v>
      </c>
      <c r="P107" s="109">
        <f t="shared" si="28"/>
        <v>5.8780000000000001</v>
      </c>
      <c r="Q107" s="109">
        <f t="shared" si="28"/>
        <v>18.970000000000002</v>
      </c>
      <c r="R107" s="109">
        <f t="shared" si="28"/>
        <v>1012.86</v>
      </c>
      <c r="S107" s="109">
        <f t="shared" si="28"/>
        <v>1832.67</v>
      </c>
      <c r="T107" s="109">
        <f t="shared" si="28"/>
        <v>226.16200000000001</v>
      </c>
      <c r="U107" s="109">
        <f t="shared" si="28"/>
        <v>156.84</v>
      </c>
      <c r="V107" s="109">
        <f t="shared" si="28"/>
        <v>366.59</v>
      </c>
      <c r="W107" s="109">
        <f t="shared" si="28"/>
        <v>5.5473333333333334</v>
      </c>
      <c r="X107" s="109">
        <f t="shared" si="28"/>
        <v>174.2</v>
      </c>
      <c r="Y107" s="109">
        <f t="shared" si="28"/>
        <v>34.694000000000003</v>
      </c>
    </row>
    <row r="108" spans="1:25" s="202" customFormat="1" ht="22.05" customHeight="1" x14ac:dyDescent="0.3">
      <c r="A108" s="20"/>
      <c r="B108" s="39"/>
      <c r="C108" s="40"/>
      <c r="D108" s="40"/>
      <c r="E108" s="197"/>
      <c r="F108" s="97"/>
      <c r="G108" s="97"/>
      <c r="H108" s="97"/>
      <c r="I108" s="97"/>
      <c r="J108" s="197"/>
      <c r="K108" s="97"/>
      <c r="L108" s="97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</row>
    <row r="109" spans="1:25" s="202" customFormat="1" ht="22.05" customHeight="1" x14ac:dyDescent="0.3">
      <c r="A109" s="20"/>
      <c r="B109" s="39"/>
      <c r="C109" s="40"/>
      <c r="D109" s="40"/>
      <c r="E109" s="197"/>
      <c r="F109" s="97"/>
      <c r="G109" s="97"/>
      <c r="H109" s="97"/>
      <c r="I109" s="97"/>
      <c r="J109" s="197"/>
      <c r="K109" s="97"/>
      <c r="L109" s="97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</row>
    <row r="110" spans="1:25" s="48" customFormat="1" ht="22.05" customHeight="1" x14ac:dyDescent="0.3">
      <c r="A110" s="20"/>
      <c r="B110" s="252" t="s">
        <v>60</v>
      </c>
      <c r="C110" s="252"/>
      <c r="D110" s="252"/>
      <c r="E110" s="252"/>
      <c r="F110" s="252"/>
      <c r="G110" s="252"/>
      <c r="H110" s="252"/>
      <c r="I110" s="252"/>
      <c r="J110" s="252"/>
      <c r="K110" s="252"/>
      <c r="L110" s="124"/>
      <c r="M110" s="237"/>
      <c r="N110" s="237"/>
      <c r="O110" s="237"/>
      <c r="P110" s="237"/>
      <c r="Q110" s="237"/>
      <c r="R110" s="237"/>
      <c r="S110" s="237"/>
      <c r="T110" s="237"/>
      <c r="U110" s="237"/>
      <c r="V110" s="237"/>
      <c r="W110" s="237"/>
      <c r="X110" s="237"/>
      <c r="Y110" s="237"/>
    </row>
    <row r="111" spans="1:25" s="48" customFormat="1" ht="22.05" customHeight="1" x14ac:dyDescent="0.3">
      <c r="A111" s="20"/>
      <c r="B111" s="253" t="s">
        <v>73</v>
      </c>
      <c r="C111" s="259" t="s">
        <v>1</v>
      </c>
      <c r="D111" s="260"/>
      <c r="E111" s="253" t="s">
        <v>74</v>
      </c>
      <c r="F111" s="255" t="s">
        <v>3</v>
      </c>
      <c r="G111" s="256"/>
      <c r="H111" s="256"/>
      <c r="I111" s="253" t="s">
        <v>145</v>
      </c>
      <c r="J111" s="255" t="s">
        <v>75</v>
      </c>
      <c r="K111" s="257" t="s">
        <v>185</v>
      </c>
      <c r="L111" s="127"/>
      <c r="M111" s="237" t="s">
        <v>159</v>
      </c>
      <c r="N111" s="237"/>
      <c r="O111" s="237"/>
      <c r="P111" s="237"/>
      <c r="Q111" s="237"/>
      <c r="R111" s="237"/>
      <c r="S111" s="237"/>
      <c r="T111" s="237"/>
      <c r="U111" s="237"/>
      <c r="V111" s="237"/>
      <c r="W111" s="237"/>
      <c r="X111" s="237"/>
      <c r="Y111" s="237"/>
    </row>
    <row r="112" spans="1:25" s="48" customFormat="1" ht="40.200000000000003" customHeight="1" x14ac:dyDescent="0.3">
      <c r="A112" s="20"/>
      <c r="B112" s="254"/>
      <c r="C112" s="261"/>
      <c r="D112" s="262"/>
      <c r="E112" s="254"/>
      <c r="F112" s="35" t="s">
        <v>142</v>
      </c>
      <c r="G112" s="35" t="s">
        <v>143</v>
      </c>
      <c r="H112" s="35" t="s">
        <v>144</v>
      </c>
      <c r="I112" s="254"/>
      <c r="J112" s="255"/>
      <c r="K112" s="258"/>
      <c r="L112" s="128"/>
      <c r="M112" s="238" t="s">
        <v>83</v>
      </c>
      <c r="N112" s="238"/>
      <c r="O112" s="238"/>
      <c r="P112" s="238"/>
      <c r="Q112" s="238"/>
      <c r="R112" s="238"/>
      <c r="S112" s="238"/>
      <c r="T112" s="238"/>
      <c r="U112" s="238"/>
      <c r="V112" s="238"/>
      <c r="W112" s="238"/>
      <c r="X112" s="238"/>
      <c r="Y112" s="238"/>
    </row>
    <row r="113" spans="1:25" s="48" customFormat="1" ht="22.05" customHeight="1" x14ac:dyDescent="0.3">
      <c r="A113" s="20"/>
      <c r="B113" s="245" t="s">
        <v>83</v>
      </c>
      <c r="C113" s="246"/>
      <c r="D113" s="246"/>
      <c r="E113" s="246"/>
      <c r="F113" s="246"/>
      <c r="G113" s="246"/>
      <c r="H113" s="246"/>
      <c r="I113" s="246"/>
      <c r="J113" s="246"/>
      <c r="K113" s="247"/>
      <c r="L113" s="153"/>
      <c r="M113" s="86" t="s">
        <v>146</v>
      </c>
      <c r="N113" s="86" t="s">
        <v>147</v>
      </c>
      <c r="O113" s="86" t="s">
        <v>148</v>
      </c>
      <c r="P113" s="86" t="s">
        <v>150</v>
      </c>
      <c r="Q113" s="86" t="s">
        <v>149</v>
      </c>
      <c r="R113" s="86" t="s">
        <v>151</v>
      </c>
      <c r="S113" s="86" t="s">
        <v>152</v>
      </c>
      <c r="T113" s="86" t="s">
        <v>153</v>
      </c>
      <c r="U113" s="86" t="s">
        <v>154</v>
      </c>
      <c r="V113" s="86" t="s">
        <v>155</v>
      </c>
      <c r="W113" s="86" t="s">
        <v>156</v>
      </c>
      <c r="X113" s="86" t="s">
        <v>157</v>
      </c>
      <c r="Y113" s="86" t="s">
        <v>158</v>
      </c>
    </row>
    <row r="114" spans="1:25" s="120" customFormat="1" ht="22.05" customHeight="1" x14ac:dyDescent="0.3">
      <c r="A114" s="20"/>
      <c r="B114" s="268" t="s">
        <v>4</v>
      </c>
      <c r="C114" s="248" t="s">
        <v>197</v>
      </c>
      <c r="D114" s="249"/>
      <c r="E114" s="51">
        <v>60</v>
      </c>
      <c r="F114" s="52">
        <v>0.5</v>
      </c>
      <c r="G114" s="52">
        <v>0</v>
      </c>
      <c r="H114" s="52">
        <v>1.8</v>
      </c>
      <c r="I114" s="52">
        <v>9.1</v>
      </c>
      <c r="J114" s="134" t="s">
        <v>198</v>
      </c>
      <c r="K114" s="145">
        <v>23.75</v>
      </c>
      <c r="L114" s="145"/>
      <c r="M114" s="119">
        <v>0.02</v>
      </c>
      <c r="N114" s="119">
        <v>0.02</v>
      </c>
      <c r="O114" s="119">
        <v>6</v>
      </c>
      <c r="P114" s="119">
        <v>0.12</v>
      </c>
      <c r="Q114" s="119">
        <v>6</v>
      </c>
      <c r="R114" s="119">
        <v>5</v>
      </c>
      <c r="S114" s="119">
        <v>85</v>
      </c>
      <c r="T114" s="119">
        <v>14</v>
      </c>
      <c r="U114" s="119">
        <v>8</v>
      </c>
      <c r="V114" s="119">
        <v>25</v>
      </c>
      <c r="W114" s="119">
        <v>1</v>
      </c>
      <c r="X114" s="119">
        <v>1.8</v>
      </c>
      <c r="Y114" s="119">
        <v>0</v>
      </c>
    </row>
    <row r="115" spans="1:25" s="48" customFormat="1" ht="22.05" customHeight="1" x14ac:dyDescent="0.3">
      <c r="A115" s="20"/>
      <c r="B115" s="268"/>
      <c r="C115" s="248" t="s">
        <v>20</v>
      </c>
      <c r="D115" s="249"/>
      <c r="E115" s="51">
        <v>150</v>
      </c>
      <c r="F115" s="52">
        <v>5</v>
      </c>
      <c r="G115" s="52">
        <v>5.3</v>
      </c>
      <c r="H115" s="52">
        <v>35</v>
      </c>
      <c r="I115" s="52">
        <v>208</v>
      </c>
      <c r="J115" s="134" t="s">
        <v>19</v>
      </c>
      <c r="K115" s="145">
        <v>9.11</v>
      </c>
      <c r="L115" s="145"/>
      <c r="M115" s="87">
        <v>0.06</v>
      </c>
      <c r="N115" s="87">
        <v>0.03</v>
      </c>
      <c r="O115" s="87">
        <v>20</v>
      </c>
      <c r="P115" s="87">
        <v>0.5</v>
      </c>
      <c r="Q115" s="87">
        <v>0</v>
      </c>
      <c r="R115" s="87">
        <v>192</v>
      </c>
      <c r="S115" s="87">
        <v>7</v>
      </c>
      <c r="T115" s="87">
        <v>59</v>
      </c>
      <c r="U115" s="87">
        <v>7</v>
      </c>
      <c r="V115" s="87">
        <v>40</v>
      </c>
      <c r="W115" s="87">
        <v>1</v>
      </c>
      <c r="X115" s="87">
        <v>20</v>
      </c>
      <c r="Y115" s="87">
        <v>0.1</v>
      </c>
    </row>
    <row r="116" spans="1:25" s="48" customFormat="1" ht="30" customHeight="1" x14ac:dyDescent="0.3">
      <c r="A116" s="20"/>
      <c r="B116" s="268"/>
      <c r="C116" s="248" t="s">
        <v>217</v>
      </c>
      <c r="D116" s="249"/>
      <c r="E116" s="51">
        <v>120</v>
      </c>
      <c r="F116" s="52">
        <v>13.5</v>
      </c>
      <c r="G116" s="52">
        <v>11.07</v>
      </c>
      <c r="H116" s="52">
        <v>6.3</v>
      </c>
      <c r="I116" s="52">
        <v>187.12</v>
      </c>
      <c r="J116" s="134" t="s">
        <v>218</v>
      </c>
      <c r="K116" s="145">
        <v>60.16</v>
      </c>
      <c r="L116" s="145"/>
      <c r="M116" s="87">
        <v>0.06</v>
      </c>
      <c r="N116" s="87">
        <v>0.14000000000000001</v>
      </c>
      <c r="O116" s="87">
        <v>32.18</v>
      </c>
      <c r="P116" s="87">
        <v>1.71</v>
      </c>
      <c r="Q116" s="87">
        <v>0.5</v>
      </c>
      <c r="R116" s="87">
        <v>242.01</v>
      </c>
      <c r="S116" s="87">
        <v>253.98</v>
      </c>
      <c r="T116" s="87">
        <v>36.119999999999997</v>
      </c>
      <c r="U116" s="87">
        <v>28.15</v>
      </c>
      <c r="V116" s="87">
        <v>147.4</v>
      </c>
      <c r="W116" s="87">
        <v>1.5</v>
      </c>
      <c r="X116" s="87">
        <v>26.73</v>
      </c>
      <c r="Y116" s="87">
        <v>1.44</v>
      </c>
    </row>
    <row r="117" spans="1:25" s="48" customFormat="1" ht="22.05" customHeight="1" x14ac:dyDescent="0.3">
      <c r="A117" s="20"/>
      <c r="B117" s="268"/>
      <c r="C117" s="248" t="s">
        <v>114</v>
      </c>
      <c r="D117" s="249"/>
      <c r="E117" s="51">
        <v>35</v>
      </c>
      <c r="F117" s="52">
        <f>F16/100*35</f>
        <v>2.66</v>
      </c>
      <c r="G117" s="52">
        <f>G16/100*35</f>
        <v>0.31500000000000006</v>
      </c>
      <c r="H117" s="52">
        <f>H16/100*35</f>
        <v>17.395000000000003</v>
      </c>
      <c r="I117" s="52">
        <f>I16/100*35</f>
        <v>79.099999999999994</v>
      </c>
      <c r="J117" s="135" t="s">
        <v>63</v>
      </c>
      <c r="K117" s="145">
        <v>3.18</v>
      </c>
      <c r="L117" s="145"/>
      <c r="M117" s="87">
        <f t="shared" ref="M117:Y117" si="29">M10/30*35</f>
        <v>0.14350000000000002</v>
      </c>
      <c r="N117" s="87">
        <f t="shared" si="29"/>
        <v>8.8666666666666658E-2</v>
      </c>
      <c r="O117" s="87">
        <f t="shared" si="29"/>
        <v>0</v>
      </c>
      <c r="P117" s="87">
        <f t="shared" si="29"/>
        <v>1.96</v>
      </c>
      <c r="Q117" s="87">
        <f t="shared" si="29"/>
        <v>7.0000000000000007E-2</v>
      </c>
      <c r="R117" s="87">
        <f t="shared" si="29"/>
        <v>165.55</v>
      </c>
      <c r="S117" s="87">
        <f t="shared" si="29"/>
        <v>43.75</v>
      </c>
      <c r="T117" s="87">
        <f t="shared" si="29"/>
        <v>1.7150000000000001</v>
      </c>
      <c r="U117" s="87">
        <f t="shared" si="29"/>
        <v>14.350000000000001</v>
      </c>
      <c r="V117" s="87">
        <f t="shared" si="29"/>
        <v>45.15</v>
      </c>
      <c r="W117" s="87">
        <f t="shared" si="29"/>
        <v>1.2600000000000002</v>
      </c>
      <c r="X117" s="87">
        <f t="shared" si="29"/>
        <v>0</v>
      </c>
      <c r="Y117" s="87">
        <f t="shared" si="29"/>
        <v>10.080000000000002</v>
      </c>
    </row>
    <row r="118" spans="1:25" s="48" customFormat="1" ht="22.05" customHeight="1" x14ac:dyDescent="0.3">
      <c r="A118" s="20"/>
      <c r="B118" s="268"/>
      <c r="C118" s="248" t="s">
        <v>118</v>
      </c>
      <c r="D118" s="249"/>
      <c r="E118" s="51">
        <v>28</v>
      </c>
      <c r="F118" s="52">
        <f>F17/100*28</f>
        <v>1.3160000000000001</v>
      </c>
      <c r="G118" s="52">
        <f>G17/100*28</f>
        <v>0.19599999999999998</v>
      </c>
      <c r="H118" s="52">
        <f>H17/100*28</f>
        <v>13.943999999999999</v>
      </c>
      <c r="I118" s="52">
        <f>I17/100*28</f>
        <v>59.92</v>
      </c>
      <c r="J118" s="135" t="s">
        <v>63</v>
      </c>
      <c r="K118" s="145">
        <v>2.5499999999999998</v>
      </c>
      <c r="L118" s="145"/>
      <c r="M118" s="87">
        <f t="shared" ref="M118:Y118" si="30">M11/30*28</f>
        <v>0.12133333333333332</v>
      </c>
      <c r="N118" s="87">
        <f t="shared" si="30"/>
        <v>9.3333333333333338E-2</v>
      </c>
      <c r="O118" s="87">
        <f t="shared" si="30"/>
        <v>0</v>
      </c>
      <c r="P118" s="87">
        <f t="shared" si="30"/>
        <v>1.0640000000000001</v>
      </c>
      <c r="Q118" s="87">
        <f t="shared" si="30"/>
        <v>0.112</v>
      </c>
      <c r="R118" s="87">
        <f t="shared" si="30"/>
        <v>168.84</v>
      </c>
      <c r="S118" s="87">
        <f t="shared" si="30"/>
        <v>20.439999999999998</v>
      </c>
      <c r="T118" s="87">
        <f t="shared" si="30"/>
        <v>0.33600000000000002</v>
      </c>
      <c r="U118" s="87">
        <f t="shared" si="30"/>
        <v>11.200000000000001</v>
      </c>
      <c r="V118" s="87">
        <f t="shared" si="30"/>
        <v>35</v>
      </c>
      <c r="W118" s="87">
        <f t="shared" si="30"/>
        <v>0.79333333333333333</v>
      </c>
      <c r="X118" s="87">
        <f t="shared" si="30"/>
        <v>0</v>
      </c>
      <c r="Y118" s="87">
        <f t="shared" si="30"/>
        <v>8.6519999999999992</v>
      </c>
    </row>
    <row r="119" spans="1:25" s="48" customFormat="1" ht="22.05" customHeight="1" x14ac:dyDescent="0.3">
      <c r="A119" s="20"/>
      <c r="B119" s="268"/>
      <c r="C119" s="280" t="s">
        <v>18</v>
      </c>
      <c r="D119" s="280"/>
      <c r="E119" s="51">
        <v>200</v>
      </c>
      <c r="F119" s="52">
        <v>0.3</v>
      </c>
      <c r="G119" s="52">
        <v>0</v>
      </c>
      <c r="H119" s="52">
        <v>6.7</v>
      </c>
      <c r="I119" s="52">
        <v>27.6</v>
      </c>
      <c r="J119" s="53" t="s">
        <v>17</v>
      </c>
      <c r="K119" s="145">
        <v>3.25</v>
      </c>
      <c r="L119" s="152"/>
      <c r="M119" s="87">
        <v>0</v>
      </c>
      <c r="N119" s="87">
        <v>0.1</v>
      </c>
      <c r="O119" s="87">
        <v>0</v>
      </c>
      <c r="P119" s="87">
        <v>7.0000000000000007E-2</v>
      </c>
      <c r="Q119" s="87">
        <v>1</v>
      </c>
      <c r="R119" s="87">
        <v>2</v>
      </c>
      <c r="S119" s="87">
        <v>36</v>
      </c>
      <c r="T119" s="87">
        <v>6</v>
      </c>
      <c r="U119" s="87">
        <v>5</v>
      </c>
      <c r="V119" s="87">
        <v>8</v>
      </c>
      <c r="W119" s="87">
        <v>1</v>
      </c>
      <c r="X119" s="87">
        <v>0</v>
      </c>
      <c r="Y119" s="87">
        <v>0</v>
      </c>
    </row>
    <row r="120" spans="1:25" s="48" customFormat="1" ht="22.05" customHeight="1" x14ac:dyDescent="0.3">
      <c r="A120" s="14"/>
      <c r="B120" s="44"/>
      <c r="C120" s="263" t="s">
        <v>108</v>
      </c>
      <c r="D120" s="264"/>
      <c r="E120" s="45">
        <f>SUM(E114:E119)</f>
        <v>593</v>
      </c>
      <c r="F120" s="58">
        <f>SUM(F114:F119)</f>
        <v>23.276</v>
      </c>
      <c r="G120" s="58">
        <f>SUM(G114:G119)</f>
        <v>16.881000000000004</v>
      </c>
      <c r="H120" s="58">
        <f>SUM(H114:H119)</f>
        <v>81.138999999999996</v>
      </c>
      <c r="I120" s="58">
        <f>SUM(I114:I119)</f>
        <v>570.84</v>
      </c>
      <c r="J120" s="58"/>
      <c r="K120" s="58">
        <f>SUM(K114:K119)</f>
        <v>102</v>
      </c>
      <c r="L120" s="145"/>
      <c r="M120" s="109">
        <f t="shared" ref="M120:Y120" si="31">SUM(M114:M119)</f>
        <v>0.40483333333333338</v>
      </c>
      <c r="N120" s="109">
        <f t="shared" si="31"/>
        <v>0.47199999999999998</v>
      </c>
      <c r="O120" s="109">
        <f t="shared" si="31"/>
        <v>58.18</v>
      </c>
      <c r="P120" s="109">
        <f t="shared" si="31"/>
        <v>5.4240000000000004</v>
      </c>
      <c r="Q120" s="109">
        <f t="shared" si="31"/>
        <v>7.6820000000000004</v>
      </c>
      <c r="R120" s="109">
        <f t="shared" si="31"/>
        <v>775.4</v>
      </c>
      <c r="S120" s="109">
        <f t="shared" si="31"/>
        <v>446.17</v>
      </c>
      <c r="T120" s="109">
        <f t="shared" si="31"/>
        <v>117.17100000000001</v>
      </c>
      <c r="U120" s="109">
        <f t="shared" si="31"/>
        <v>73.7</v>
      </c>
      <c r="V120" s="109">
        <f t="shared" si="31"/>
        <v>300.55</v>
      </c>
      <c r="W120" s="109">
        <f t="shared" si="31"/>
        <v>6.5533333333333328</v>
      </c>
      <c r="X120" s="109">
        <f t="shared" si="31"/>
        <v>48.53</v>
      </c>
      <c r="Y120" s="109">
        <f t="shared" si="31"/>
        <v>20.271999999999998</v>
      </c>
    </row>
    <row r="121" spans="1:25" s="120" customFormat="1" ht="22.05" customHeight="1" x14ac:dyDescent="0.3">
      <c r="A121" s="14"/>
      <c r="B121" s="36"/>
      <c r="C121" s="40"/>
      <c r="D121" s="40"/>
      <c r="E121" s="212"/>
      <c r="F121" s="97"/>
      <c r="G121" s="97"/>
      <c r="H121" s="97"/>
      <c r="I121" s="97"/>
      <c r="J121" s="97"/>
      <c r="K121" s="97"/>
      <c r="L121" s="97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</row>
    <row r="122" spans="1:25" s="50" customFormat="1" ht="22.05" customHeight="1" x14ac:dyDescent="0.3">
      <c r="A122" s="14"/>
      <c r="B122" s="36"/>
      <c r="C122" s="31"/>
      <c r="D122" s="31"/>
      <c r="E122" s="14"/>
      <c r="F122" s="37"/>
      <c r="G122" s="37"/>
      <c r="H122" s="37"/>
      <c r="I122" s="37"/>
      <c r="J122" s="14"/>
      <c r="K122" s="65"/>
      <c r="L122" s="65"/>
    </row>
    <row r="123" spans="1:25" s="48" customFormat="1" ht="22.05" customHeight="1" x14ac:dyDescent="0.3">
      <c r="A123" s="20"/>
      <c r="B123" s="252" t="s">
        <v>60</v>
      </c>
      <c r="C123" s="252"/>
      <c r="D123" s="252"/>
      <c r="E123" s="252"/>
      <c r="F123" s="252"/>
      <c r="G123" s="252"/>
      <c r="H123" s="252"/>
      <c r="I123" s="252"/>
      <c r="J123" s="252"/>
      <c r="K123" s="252"/>
      <c r="L123" s="124"/>
      <c r="M123" s="237"/>
      <c r="N123" s="237"/>
      <c r="O123" s="237"/>
      <c r="P123" s="237"/>
      <c r="Q123" s="237"/>
      <c r="R123" s="237"/>
      <c r="S123" s="237"/>
      <c r="T123" s="237"/>
      <c r="U123" s="237"/>
      <c r="V123" s="237"/>
      <c r="W123" s="237"/>
      <c r="X123" s="237"/>
      <c r="Y123" s="237"/>
    </row>
    <row r="124" spans="1:25" s="48" customFormat="1" ht="22.05" customHeight="1" x14ac:dyDescent="0.3">
      <c r="A124" s="20"/>
      <c r="B124" s="253" t="s">
        <v>73</v>
      </c>
      <c r="C124" s="259" t="s">
        <v>1</v>
      </c>
      <c r="D124" s="260"/>
      <c r="E124" s="253" t="s">
        <v>74</v>
      </c>
      <c r="F124" s="255" t="s">
        <v>3</v>
      </c>
      <c r="G124" s="256"/>
      <c r="H124" s="256"/>
      <c r="I124" s="253" t="s">
        <v>145</v>
      </c>
      <c r="J124" s="252" t="s">
        <v>75</v>
      </c>
      <c r="K124" s="257" t="s">
        <v>185</v>
      </c>
      <c r="L124" s="127"/>
      <c r="M124" s="237" t="s">
        <v>159</v>
      </c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  <c r="X124" s="237"/>
      <c r="Y124" s="237"/>
    </row>
    <row r="125" spans="1:25" s="48" customFormat="1" ht="43.8" customHeight="1" x14ac:dyDescent="0.3">
      <c r="A125" s="20"/>
      <c r="B125" s="254"/>
      <c r="C125" s="261"/>
      <c r="D125" s="262"/>
      <c r="E125" s="254"/>
      <c r="F125" s="89" t="s">
        <v>142</v>
      </c>
      <c r="G125" s="89" t="s">
        <v>143</v>
      </c>
      <c r="H125" s="89" t="s">
        <v>144</v>
      </c>
      <c r="I125" s="254"/>
      <c r="J125" s="252"/>
      <c r="K125" s="258"/>
      <c r="L125" s="128"/>
      <c r="M125" s="238" t="s">
        <v>84</v>
      </c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</row>
    <row r="126" spans="1:25" s="50" customFormat="1" ht="22.05" customHeight="1" x14ac:dyDescent="0.3">
      <c r="A126" s="14"/>
      <c r="B126" s="245" t="s">
        <v>84</v>
      </c>
      <c r="C126" s="246"/>
      <c r="D126" s="246"/>
      <c r="E126" s="246"/>
      <c r="F126" s="246"/>
      <c r="G126" s="246"/>
      <c r="H126" s="246"/>
      <c r="I126" s="246"/>
      <c r="J126" s="246"/>
      <c r="K126" s="247"/>
      <c r="L126" s="153"/>
      <c r="M126" s="85" t="s">
        <v>146</v>
      </c>
      <c r="N126" s="85" t="s">
        <v>147</v>
      </c>
      <c r="O126" s="85" t="s">
        <v>148</v>
      </c>
      <c r="P126" s="85" t="s">
        <v>150</v>
      </c>
      <c r="Q126" s="85" t="s">
        <v>149</v>
      </c>
      <c r="R126" s="85" t="s">
        <v>151</v>
      </c>
      <c r="S126" s="85" t="s">
        <v>152</v>
      </c>
      <c r="T126" s="85" t="s">
        <v>153</v>
      </c>
      <c r="U126" s="85" t="s">
        <v>154</v>
      </c>
      <c r="V126" s="85" t="s">
        <v>155</v>
      </c>
      <c r="W126" s="85" t="s">
        <v>156</v>
      </c>
      <c r="X126" s="85" t="s">
        <v>157</v>
      </c>
      <c r="Y126" s="85" t="s">
        <v>158</v>
      </c>
    </row>
    <row r="127" spans="1:25" s="48" customFormat="1" ht="28.2" customHeight="1" x14ac:dyDescent="0.3">
      <c r="A127" s="20"/>
      <c r="B127" s="270" t="s">
        <v>4</v>
      </c>
      <c r="C127" s="248" t="s">
        <v>199</v>
      </c>
      <c r="D127" s="249"/>
      <c r="E127" s="51">
        <v>70</v>
      </c>
      <c r="F127" s="52">
        <v>1.8</v>
      </c>
      <c r="G127" s="52">
        <v>7</v>
      </c>
      <c r="H127" s="52">
        <v>7.9</v>
      </c>
      <c r="I127" s="52">
        <v>102</v>
      </c>
      <c r="J127" s="53" t="s">
        <v>200</v>
      </c>
      <c r="K127" s="145">
        <v>10.85</v>
      </c>
      <c r="L127" s="145"/>
      <c r="M127" s="87">
        <v>0.05</v>
      </c>
      <c r="N127" s="87">
        <v>0.05</v>
      </c>
      <c r="O127" s="87">
        <v>111.4</v>
      </c>
      <c r="P127" s="87">
        <v>0.5</v>
      </c>
      <c r="Q127" s="87">
        <v>46</v>
      </c>
      <c r="R127" s="87">
        <v>102</v>
      </c>
      <c r="S127" s="87">
        <v>189</v>
      </c>
      <c r="T127" s="87">
        <v>49</v>
      </c>
      <c r="U127" s="87">
        <v>18</v>
      </c>
      <c r="V127" s="87">
        <v>34</v>
      </c>
      <c r="W127" s="87">
        <v>1</v>
      </c>
      <c r="X127" s="87">
        <v>12.5</v>
      </c>
      <c r="Y127" s="87">
        <v>0.2</v>
      </c>
    </row>
    <row r="128" spans="1:25" s="120" customFormat="1" ht="22.05" customHeight="1" x14ac:dyDescent="0.3">
      <c r="A128" s="20"/>
      <c r="B128" s="268"/>
      <c r="C128" s="248" t="s">
        <v>184</v>
      </c>
      <c r="D128" s="249"/>
      <c r="E128" s="51">
        <v>200</v>
      </c>
      <c r="F128" s="52">
        <v>5.27</v>
      </c>
      <c r="G128" s="52">
        <v>7.66</v>
      </c>
      <c r="H128" s="52">
        <v>13.06</v>
      </c>
      <c r="I128" s="52">
        <v>157.91999999999999</v>
      </c>
      <c r="J128" s="53" t="s">
        <v>26</v>
      </c>
      <c r="K128" s="145">
        <v>37.159999999999997</v>
      </c>
      <c r="L128" s="145"/>
      <c r="M128" s="119">
        <v>0.14000000000000001</v>
      </c>
      <c r="N128" s="119">
        <v>0.2</v>
      </c>
      <c r="O128" s="119">
        <v>20</v>
      </c>
      <c r="P128" s="119">
        <v>5.8</v>
      </c>
      <c r="Q128" s="119">
        <v>10</v>
      </c>
      <c r="R128" s="119">
        <v>323.3</v>
      </c>
      <c r="S128" s="119">
        <v>1023.4</v>
      </c>
      <c r="T128" s="119">
        <v>28.5</v>
      </c>
      <c r="U128" s="119">
        <v>47</v>
      </c>
      <c r="V128" s="119">
        <v>294.60000000000002</v>
      </c>
      <c r="W128" s="119">
        <v>3.8</v>
      </c>
      <c r="X128" s="119">
        <v>20.9</v>
      </c>
      <c r="Y128" s="119">
        <v>0.4</v>
      </c>
    </row>
    <row r="129" spans="1:25" s="48" customFormat="1" ht="22.05" customHeight="1" x14ac:dyDescent="0.3">
      <c r="A129" s="20"/>
      <c r="B129" s="268"/>
      <c r="C129" s="248" t="s">
        <v>114</v>
      </c>
      <c r="D129" s="249"/>
      <c r="E129" s="51">
        <v>36</v>
      </c>
      <c r="F129" s="52">
        <f>F16/100*36</f>
        <v>2.7359999999999998</v>
      </c>
      <c r="G129" s="52">
        <f>G16/100*36</f>
        <v>0.32400000000000007</v>
      </c>
      <c r="H129" s="52">
        <f>H16/100*36</f>
        <v>17.892000000000003</v>
      </c>
      <c r="I129" s="52">
        <f>I16/100*36</f>
        <v>81.359999999999985</v>
      </c>
      <c r="J129" s="51" t="s">
        <v>63</v>
      </c>
      <c r="K129" s="145">
        <v>3.27</v>
      </c>
      <c r="L129" s="145"/>
      <c r="M129" s="87">
        <f t="shared" ref="M129:Y129" si="32">M10/30*36</f>
        <v>0.14760000000000001</v>
      </c>
      <c r="N129" s="87">
        <f t="shared" si="32"/>
        <v>9.1199999999999989E-2</v>
      </c>
      <c r="O129" s="87">
        <f t="shared" si="32"/>
        <v>0</v>
      </c>
      <c r="P129" s="87">
        <f t="shared" si="32"/>
        <v>2.016</v>
      </c>
      <c r="Q129" s="87">
        <f t="shared" si="32"/>
        <v>7.2000000000000008E-2</v>
      </c>
      <c r="R129" s="87">
        <f t="shared" si="32"/>
        <v>170.28000000000003</v>
      </c>
      <c r="S129" s="87">
        <f t="shared" si="32"/>
        <v>45</v>
      </c>
      <c r="T129" s="87">
        <f t="shared" si="32"/>
        <v>1.764</v>
      </c>
      <c r="U129" s="87">
        <f t="shared" si="32"/>
        <v>14.760000000000002</v>
      </c>
      <c r="V129" s="87">
        <f t="shared" si="32"/>
        <v>46.44</v>
      </c>
      <c r="W129" s="87">
        <f t="shared" si="32"/>
        <v>1.2960000000000003</v>
      </c>
      <c r="X129" s="87">
        <f t="shared" si="32"/>
        <v>0</v>
      </c>
      <c r="Y129" s="87">
        <f t="shared" si="32"/>
        <v>10.368000000000002</v>
      </c>
    </row>
    <row r="130" spans="1:25" s="48" customFormat="1" ht="22.05" customHeight="1" x14ac:dyDescent="0.3">
      <c r="A130" s="20"/>
      <c r="B130" s="268"/>
      <c r="C130" s="248" t="s">
        <v>118</v>
      </c>
      <c r="D130" s="249"/>
      <c r="E130" s="51">
        <v>28</v>
      </c>
      <c r="F130" s="52">
        <f>F17/100*28</f>
        <v>1.3160000000000001</v>
      </c>
      <c r="G130" s="52">
        <f>G17/100*28</f>
        <v>0.19599999999999998</v>
      </c>
      <c r="H130" s="52">
        <f>H17/100*28</f>
        <v>13.943999999999999</v>
      </c>
      <c r="I130" s="52">
        <f>I17/100*28</f>
        <v>59.92</v>
      </c>
      <c r="J130" s="51" t="s">
        <v>63</v>
      </c>
      <c r="K130" s="145">
        <v>2.5499999999999998</v>
      </c>
      <c r="L130" s="145"/>
      <c r="M130" s="87">
        <f t="shared" ref="M130:Y130" si="33">M11/30*28</f>
        <v>0.12133333333333332</v>
      </c>
      <c r="N130" s="87">
        <f t="shared" si="33"/>
        <v>9.3333333333333338E-2</v>
      </c>
      <c r="O130" s="87">
        <f t="shared" si="33"/>
        <v>0</v>
      </c>
      <c r="P130" s="87">
        <f t="shared" si="33"/>
        <v>1.0640000000000001</v>
      </c>
      <c r="Q130" s="87">
        <f t="shared" si="33"/>
        <v>0.112</v>
      </c>
      <c r="R130" s="87">
        <f t="shared" si="33"/>
        <v>168.84</v>
      </c>
      <c r="S130" s="87">
        <f t="shared" si="33"/>
        <v>20.439999999999998</v>
      </c>
      <c r="T130" s="87">
        <f t="shared" si="33"/>
        <v>0.33600000000000002</v>
      </c>
      <c r="U130" s="87">
        <f t="shared" si="33"/>
        <v>11.200000000000001</v>
      </c>
      <c r="V130" s="87">
        <f t="shared" si="33"/>
        <v>35</v>
      </c>
      <c r="W130" s="87">
        <f t="shared" si="33"/>
        <v>0.79333333333333333</v>
      </c>
      <c r="X130" s="87">
        <f t="shared" si="33"/>
        <v>0</v>
      </c>
      <c r="Y130" s="87">
        <f t="shared" si="33"/>
        <v>8.6519999999999992</v>
      </c>
    </row>
    <row r="131" spans="1:25" s="19" customFormat="1" ht="22.05" customHeight="1" x14ac:dyDescent="0.3">
      <c r="A131" s="17"/>
      <c r="B131" s="268"/>
      <c r="C131" s="248" t="s">
        <v>8</v>
      </c>
      <c r="D131" s="249"/>
      <c r="E131" s="51">
        <v>200</v>
      </c>
      <c r="F131" s="52">
        <v>3.8</v>
      </c>
      <c r="G131" s="52">
        <v>3.5</v>
      </c>
      <c r="H131" s="52">
        <v>11.1</v>
      </c>
      <c r="I131" s="52">
        <v>90.8</v>
      </c>
      <c r="J131" s="53" t="s">
        <v>7</v>
      </c>
      <c r="K131" s="148">
        <v>13.17</v>
      </c>
      <c r="L131" s="148"/>
      <c r="M131" s="131">
        <v>0.02</v>
      </c>
      <c r="N131" s="131">
        <v>0.11</v>
      </c>
      <c r="O131" s="131">
        <v>12</v>
      </c>
      <c r="P131" s="131">
        <v>0.2</v>
      </c>
      <c r="Q131" s="131">
        <v>0</v>
      </c>
      <c r="R131" s="131">
        <v>51</v>
      </c>
      <c r="S131" s="131">
        <v>221</v>
      </c>
      <c r="T131" s="131">
        <v>112</v>
      </c>
      <c r="U131" s="131">
        <v>30</v>
      </c>
      <c r="V131" s="131">
        <v>107</v>
      </c>
      <c r="W131" s="131">
        <v>1</v>
      </c>
      <c r="X131" s="131">
        <v>9</v>
      </c>
      <c r="Y131" s="131">
        <v>1.8</v>
      </c>
    </row>
    <row r="132" spans="1:25" s="19" customFormat="1" ht="22.05" customHeight="1" x14ac:dyDescent="0.3">
      <c r="A132" s="17"/>
      <c r="B132" s="268"/>
      <c r="C132" s="280" t="s">
        <v>164</v>
      </c>
      <c r="D132" s="280"/>
      <c r="E132" s="51">
        <v>100</v>
      </c>
      <c r="F132" s="52">
        <v>2.6</v>
      </c>
      <c r="G132" s="52">
        <v>2.5</v>
      </c>
      <c r="H132" s="52">
        <v>16</v>
      </c>
      <c r="I132" s="52">
        <v>95</v>
      </c>
      <c r="J132" s="51" t="s">
        <v>63</v>
      </c>
      <c r="K132" s="145">
        <v>35</v>
      </c>
      <c r="L132" s="171"/>
      <c r="M132" s="87">
        <v>0</v>
      </c>
      <c r="N132" s="87">
        <v>0</v>
      </c>
      <c r="O132" s="87">
        <v>500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v>0</v>
      </c>
      <c r="W132" s="87">
        <v>0</v>
      </c>
      <c r="X132" s="87">
        <v>0</v>
      </c>
      <c r="Y132" s="87">
        <v>0</v>
      </c>
    </row>
    <row r="133" spans="1:25" s="48" customFormat="1" ht="22.05" customHeight="1" x14ac:dyDescent="0.3">
      <c r="A133" s="20"/>
      <c r="B133" s="43"/>
      <c r="C133" s="263" t="s">
        <v>108</v>
      </c>
      <c r="D133" s="264"/>
      <c r="E133" s="45">
        <f>SUM(E127:E132)</f>
        <v>634</v>
      </c>
      <c r="F133" s="58">
        <f>SUM(F127:F132)</f>
        <v>17.522000000000002</v>
      </c>
      <c r="G133" s="58">
        <f>SUM(G127:G132)</f>
        <v>21.18</v>
      </c>
      <c r="H133" s="58">
        <f>SUM(H127:H132)</f>
        <v>79.896000000000015</v>
      </c>
      <c r="I133" s="58">
        <f>SUM(I127:I132)</f>
        <v>587</v>
      </c>
      <c r="J133" s="45"/>
      <c r="K133" s="58">
        <f>SUM(K127:K132)</f>
        <v>102</v>
      </c>
      <c r="L133" s="201"/>
      <c r="M133" s="109">
        <f t="shared" ref="M133:Y133" si="34">SUM(M127:M132)</f>
        <v>0.47893333333333332</v>
      </c>
      <c r="N133" s="109">
        <f t="shared" si="34"/>
        <v>0.54453333333333331</v>
      </c>
      <c r="O133" s="109">
        <f t="shared" si="34"/>
        <v>643.4</v>
      </c>
      <c r="P133" s="109">
        <f t="shared" si="34"/>
        <v>9.5799999999999983</v>
      </c>
      <c r="Q133" s="109">
        <f t="shared" si="34"/>
        <v>56.184000000000005</v>
      </c>
      <c r="R133" s="109">
        <f t="shared" si="34"/>
        <v>815.42000000000007</v>
      </c>
      <c r="S133" s="109">
        <f t="shared" si="34"/>
        <v>1498.8400000000001</v>
      </c>
      <c r="T133" s="109">
        <f t="shared" si="34"/>
        <v>191.6</v>
      </c>
      <c r="U133" s="109">
        <f t="shared" si="34"/>
        <v>120.96000000000001</v>
      </c>
      <c r="V133" s="109">
        <f t="shared" si="34"/>
        <v>517.04</v>
      </c>
      <c r="W133" s="109">
        <f t="shared" si="34"/>
        <v>7.8893333333333331</v>
      </c>
      <c r="X133" s="109">
        <f t="shared" si="34"/>
        <v>42.4</v>
      </c>
      <c r="Y133" s="109">
        <f t="shared" si="34"/>
        <v>21.42</v>
      </c>
    </row>
    <row r="134" spans="1:25" s="50" customFormat="1" ht="22.05" customHeight="1" x14ac:dyDescent="0.3">
      <c r="A134" s="14"/>
      <c r="B134" s="41"/>
      <c r="C134" s="16"/>
      <c r="D134" s="16"/>
      <c r="E134" s="42"/>
      <c r="F134" s="42"/>
      <c r="G134" s="42"/>
      <c r="H134" s="42"/>
      <c r="I134" s="42"/>
      <c r="J134" s="14"/>
      <c r="K134" s="65"/>
      <c r="L134" s="65"/>
    </row>
    <row r="135" spans="1:25" s="50" customFormat="1" ht="22.05" customHeight="1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65"/>
      <c r="L135" s="65"/>
    </row>
    <row r="136" spans="1:25" s="48" customFormat="1" ht="22.05" customHeight="1" x14ac:dyDescent="0.3">
      <c r="A136" s="20"/>
      <c r="B136" s="252" t="s">
        <v>60</v>
      </c>
      <c r="C136" s="252"/>
      <c r="D136" s="252"/>
      <c r="E136" s="252"/>
      <c r="F136" s="252"/>
      <c r="G136" s="252"/>
      <c r="H136" s="252"/>
      <c r="I136" s="252"/>
      <c r="J136" s="252"/>
      <c r="K136" s="252"/>
      <c r="L136" s="124"/>
      <c r="M136" s="237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</row>
    <row r="137" spans="1:25" s="48" customFormat="1" ht="22.05" customHeight="1" x14ac:dyDescent="0.3">
      <c r="A137" s="20"/>
      <c r="B137" s="253" t="s">
        <v>73</v>
      </c>
      <c r="C137" s="259" t="s">
        <v>1</v>
      </c>
      <c r="D137" s="260"/>
      <c r="E137" s="253" t="s">
        <v>74</v>
      </c>
      <c r="F137" s="255" t="s">
        <v>3</v>
      </c>
      <c r="G137" s="256"/>
      <c r="H137" s="256"/>
      <c r="I137" s="253" t="s">
        <v>145</v>
      </c>
      <c r="J137" s="255" t="s">
        <v>75</v>
      </c>
      <c r="K137" s="257" t="s">
        <v>185</v>
      </c>
      <c r="L137" s="125"/>
      <c r="M137" s="250" t="s">
        <v>159</v>
      </c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</row>
    <row r="138" spans="1:25" s="48" customFormat="1" ht="42.6" customHeight="1" x14ac:dyDescent="0.3">
      <c r="A138" s="20"/>
      <c r="B138" s="254"/>
      <c r="C138" s="261"/>
      <c r="D138" s="262"/>
      <c r="E138" s="254"/>
      <c r="F138" s="35" t="s">
        <v>142</v>
      </c>
      <c r="G138" s="35" t="s">
        <v>143</v>
      </c>
      <c r="H138" s="35" t="s">
        <v>144</v>
      </c>
      <c r="I138" s="254"/>
      <c r="J138" s="255"/>
      <c r="K138" s="258"/>
      <c r="L138" s="126"/>
      <c r="M138" s="251" t="s">
        <v>87</v>
      </c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</row>
    <row r="139" spans="1:25" s="48" customFormat="1" ht="22.05" customHeight="1" x14ac:dyDescent="0.3">
      <c r="A139" s="20"/>
      <c r="B139" s="245" t="s">
        <v>87</v>
      </c>
      <c r="C139" s="246"/>
      <c r="D139" s="246"/>
      <c r="E139" s="246"/>
      <c r="F139" s="246"/>
      <c r="G139" s="246"/>
      <c r="H139" s="246"/>
      <c r="I139" s="246"/>
      <c r="J139" s="246"/>
      <c r="K139" s="247"/>
      <c r="L139" s="153"/>
      <c r="M139" s="139" t="s">
        <v>146</v>
      </c>
      <c r="N139" s="86" t="s">
        <v>147</v>
      </c>
      <c r="O139" s="86" t="s">
        <v>148</v>
      </c>
      <c r="P139" s="86" t="s">
        <v>150</v>
      </c>
      <c r="Q139" s="86" t="s">
        <v>149</v>
      </c>
      <c r="R139" s="86" t="s">
        <v>151</v>
      </c>
      <c r="S139" s="86" t="s">
        <v>152</v>
      </c>
      <c r="T139" s="86" t="s">
        <v>153</v>
      </c>
      <c r="U139" s="86" t="s">
        <v>154</v>
      </c>
      <c r="V139" s="86" t="s">
        <v>155</v>
      </c>
      <c r="W139" s="86" t="s">
        <v>156</v>
      </c>
      <c r="X139" s="86" t="s">
        <v>157</v>
      </c>
      <c r="Y139" s="86" t="s">
        <v>158</v>
      </c>
    </row>
    <row r="140" spans="1:25" s="120" customFormat="1" ht="22.05" customHeight="1" x14ac:dyDescent="0.3">
      <c r="A140" s="20"/>
      <c r="B140" s="282" t="s">
        <v>9</v>
      </c>
      <c r="C140" s="248" t="s">
        <v>215</v>
      </c>
      <c r="D140" s="249"/>
      <c r="E140" s="51">
        <v>80</v>
      </c>
      <c r="F140" s="52">
        <v>0.8</v>
      </c>
      <c r="G140" s="52">
        <v>3.6</v>
      </c>
      <c r="H140" s="52">
        <v>11.6</v>
      </c>
      <c r="I140" s="52">
        <v>80</v>
      </c>
      <c r="J140" s="53">
        <v>10</v>
      </c>
      <c r="K140" s="145">
        <v>8.32</v>
      </c>
      <c r="L140" s="145"/>
      <c r="M140" s="119">
        <v>0.03</v>
      </c>
      <c r="N140" s="119">
        <v>0.04</v>
      </c>
      <c r="O140" s="119">
        <v>0</v>
      </c>
      <c r="P140" s="119">
        <v>0</v>
      </c>
      <c r="Q140" s="119">
        <v>1.38</v>
      </c>
      <c r="R140" s="119">
        <v>0</v>
      </c>
      <c r="S140" s="119">
        <v>0</v>
      </c>
      <c r="T140" s="119">
        <v>16.559999999999999</v>
      </c>
      <c r="U140" s="119">
        <v>22.75</v>
      </c>
      <c r="V140" s="119">
        <v>32.99</v>
      </c>
      <c r="W140" s="119">
        <v>0.44</v>
      </c>
      <c r="X140" s="119">
        <v>0</v>
      </c>
      <c r="Y140" s="119">
        <v>0</v>
      </c>
    </row>
    <row r="141" spans="1:25" s="120" customFormat="1" ht="22.05" customHeight="1" x14ac:dyDescent="0.3">
      <c r="B141" s="282"/>
      <c r="C141" s="288" t="s">
        <v>30</v>
      </c>
      <c r="D141" s="289"/>
      <c r="E141" s="121">
        <v>150</v>
      </c>
      <c r="F141" s="122">
        <v>3.6</v>
      </c>
      <c r="G141" s="122">
        <v>5.2</v>
      </c>
      <c r="H141" s="122">
        <v>38.1</v>
      </c>
      <c r="I141" s="122">
        <v>213.5</v>
      </c>
      <c r="J141" s="123" t="s">
        <v>29</v>
      </c>
      <c r="K141" s="149">
        <v>13.05</v>
      </c>
      <c r="L141" s="151"/>
      <c r="M141" s="141">
        <v>0</v>
      </c>
      <c r="N141" s="119">
        <v>0</v>
      </c>
      <c r="O141" s="119">
        <v>20</v>
      </c>
      <c r="P141" s="119">
        <v>0.7</v>
      </c>
      <c r="Q141" s="119">
        <v>0</v>
      </c>
      <c r="R141" s="119">
        <v>206</v>
      </c>
      <c r="S141" s="119">
        <v>31</v>
      </c>
      <c r="T141" s="119">
        <v>14</v>
      </c>
      <c r="U141" s="119">
        <v>10</v>
      </c>
      <c r="V141" s="119">
        <v>47</v>
      </c>
      <c r="W141" s="119">
        <v>1</v>
      </c>
      <c r="X141" s="119">
        <v>20</v>
      </c>
      <c r="Y141" s="119">
        <v>7.3</v>
      </c>
    </row>
    <row r="142" spans="1:25" s="120" customFormat="1" ht="30" customHeight="1" x14ac:dyDescent="0.3">
      <c r="B142" s="282"/>
      <c r="C142" s="288" t="s">
        <v>219</v>
      </c>
      <c r="D142" s="289"/>
      <c r="E142" s="121">
        <v>130</v>
      </c>
      <c r="F142" s="122">
        <v>17.399999999999999</v>
      </c>
      <c r="G142" s="122">
        <v>4.32</v>
      </c>
      <c r="H142" s="122">
        <v>11.28</v>
      </c>
      <c r="I142" s="122">
        <v>153.96</v>
      </c>
      <c r="J142" s="123" t="s">
        <v>220</v>
      </c>
      <c r="K142" s="149">
        <v>53.46</v>
      </c>
      <c r="L142" s="151"/>
      <c r="M142" s="141">
        <v>0.12</v>
      </c>
      <c r="N142" s="141">
        <v>0.1</v>
      </c>
      <c r="O142" s="141">
        <v>5.57</v>
      </c>
      <c r="P142" s="141">
        <v>4.92</v>
      </c>
      <c r="Q142" s="141">
        <v>0</v>
      </c>
      <c r="R142" s="141">
        <v>275</v>
      </c>
      <c r="S142" s="141">
        <v>259</v>
      </c>
      <c r="T142" s="141">
        <v>42</v>
      </c>
      <c r="U142" s="141">
        <v>62</v>
      </c>
      <c r="V142" s="141">
        <v>148</v>
      </c>
      <c r="W142" s="141">
        <v>1.2</v>
      </c>
      <c r="X142" s="141">
        <v>15</v>
      </c>
      <c r="Y142" s="141">
        <v>16</v>
      </c>
    </row>
    <row r="143" spans="1:25" s="48" customFormat="1" ht="22.05" customHeight="1" x14ac:dyDescent="0.3">
      <c r="A143" s="20"/>
      <c r="B143" s="282"/>
      <c r="C143" s="248" t="s">
        <v>114</v>
      </c>
      <c r="D143" s="249"/>
      <c r="E143" s="51">
        <v>55</v>
      </c>
      <c r="F143" s="52">
        <f>F16/100*45</f>
        <v>3.42</v>
      </c>
      <c r="G143" s="52">
        <f>G16/100*45</f>
        <v>0.40500000000000003</v>
      </c>
      <c r="H143" s="52">
        <f>H16/100*45</f>
        <v>22.365000000000002</v>
      </c>
      <c r="I143" s="52">
        <f>I16/100*45</f>
        <v>101.69999999999999</v>
      </c>
      <c r="J143" s="51" t="s">
        <v>63</v>
      </c>
      <c r="K143" s="145">
        <v>4.09</v>
      </c>
      <c r="L143" s="152"/>
      <c r="M143" s="140">
        <f t="shared" ref="M143:Y143" si="35">M10/30*45</f>
        <v>0.18450000000000003</v>
      </c>
      <c r="N143" s="140">
        <f t="shared" si="35"/>
        <v>0.11399999999999999</v>
      </c>
      <c r="O143" s="140">
        <f t="shared" si="35"/>
        <v>0</v>
      </c>
      <c r="P143" s="140">
        <f t="shared" si="35"/>
        <v>2.52</v>
      </c>
      <c r="Q143" s="140">
        <f t="shared" si="35"/>
        <v>0.09</v>
      </c>
      <c r="R143" s="140">
        <f t="shared" si="35"/>
        <v>212.85000000000002</v>
      </c>
      <c r="S143" s="140">
        <f t="shared" si="35"/>
        <v>56.25</v>
      </c>
      <c r="T143" s="140">
        <f t="shared" si="35"/>
        <v>2.2050000000000001</v>
      </c>
      <c r="U143" s="140">
        <f t="shared" si="35"/>
        <v>18.450000000000003</v>
      </c>
      <c r="V143" s="140">
        <f t="shared" si="35"/>
        <v>58.050000000000004</v>
      </c>
      <c r="W143" s="140">
        <f t="shared" si="35"/>
        <v>1.62</v>
      </c>
      <c r="X143" s="140">
        <f t="shared" si="35"/>
        <v>0</v>
      </c>
      <c r="Y143" s="140">
        <f t="shared" si="35"/>
        <v>12.96</v>
      </c>
    </row>
    <row r="144" spans="1:25" s="48" customFormat="1" ht="22.05" customHeight="1" x14ac:dyDescent="0.3">
      <c r="A144" s="20"/>
      <c r="B144" s="282"/>
      <c r="C144" s="248" t="s">
        <v>118</v>
      </c>
      <c r="D144" s="249"/>
      <c r="E144" s="51">
        <v>45</v>
      </c>
      <c r="F144" s="52">
        <f>F17/100*32</f>
        <v>1.504</v>
      </c>
      <c r="G144" s="52">
        <f>G17/100*32</f>
        <v>0.22399999999999998</v>
      </c>
      <c r="H144" s="52">
        <f>H17/100*32</f>
        <v>15.936</v>
      </c>
      <c r="I144" s="52">
        <f>I17/100*32</f>
        <v>68.48</v>
      </c>
      <c r="J144" s="51" t="s">
        <v>63</v>
      </c>
      <c r="K144" s="145">
        <v>2.91</v>
      </c>
      <c r="L144" s="152"/>
      <c r="M144" s="140">
        <f t="shared" ref="M144:Y144" si="36">M11/30*32</f>
        <v>0.13866666666666666</v>
      </c>
      <c r="N144" s="140">
        <f t="shared" si="36"/>
        <v>0.10666666666666667</v>
      </c>
      <c r="O144" s="140">
        <f t="shared" si="36"/>
        <v>0</v>
      </c>
      <c r="P144" s="140">
        <f t="shared" si="36"/>
        <v>1.216</v>
      </c>
      <c r="Q144" s="140">
        <f t="shared" si="36"/>
        <v>0.128</v>
      </c>
      <c r="R144" s="140">
        <f t="shared" si="36"/>
        <v>192.96</v>
      </c>
      <c r="S144" s="140">
        <f t="shared" si="36"/>
        <v>23.36</v>
      </c>
      <c r="T144" s="140">
        <f t="shared" si="36"/>
        <v>0.38400000000000001</v>
      </c>
      <c r="U144" s="140">
        <f t="shared" si="36"/>
        <v>12.8</v>
      </c>
      <c r="V144" s="140">
        <f t="shared" si="36"/>
        <v>40</v>
      </c>
      <c r="W144" s="140">
        <f t="shared" si="36"/>
        <v>0.90666666666666662</v>
      </c>
      <c r="X144" s="140">
        <f t="shared" si="36"/>
        <v>0</v>
      </c>
      <c r="Y144" s="140">
        <f t="shared" si="36"/>
        <v>9.8879999999999999</v>
      </c>
    </row>
    <row r="145" spans="1:25" s="48" customFormat="1" ht="22.05" customHeight="1" x14ac:dyDescent="0.3">
      <c r="A145" s="20"/>
      <c r="B145" s="282"/>
      <c r="C145" s="280" t="s">
        <v>187</v>
      </c>
      <c r="D145" s="280"/>
      <c r="E145" s="51">
        <v>200</v>
      </c>
      <c r="F145" s="52">
        <v>0.6</v>
      </c>
      <c r="G145" s="52">
        <v>0</v>
      </c>
      <c r="H145" s="52">
        <v>22.7</v>
      </c>
      <c r="I145" s="52">
        <v>93.2</v>
      </c>
      <c r="J145" s="53" t="s">
        <v>32</v>
      </c>
      <c r="K145" s="145">
        <v>5.17</v>
      </c>
      <c r="L145" s="145"/>
      <c r="M145" s="87">
        <v>0</v>
      </c>
      <c r="N145" s="87">
        <v>18.3</v>
      </c>
      <c r="O145" s="87">
        <v>0.06</v>
      </c>
      <c r="P145" s="87">
        <v>0</v>
      </c>
      <c r="Q145" s="87">
        <v>0</v>
      </c>
      <c r="R145" s="87">
        <v>0</v>
      </c>
      <c r="S145" s="87">
        <v>0</v>
      </c>
      <c r="T145" s="87">
        <v>60</v>
      </c>
      <c r="U145" s="87">
        <v>3</v>
      </c>
      <c r="V145" s="87">
        <v>5</v>
      </c>
      <c r="W145" s="87">
        <v>0</v>
      </c>
      <c r="X145" s="87">
        <v>0</v>
      </c>
      <c r="Y145" s="87">
        <v>0</v>
      </c>
    </row>
    <row r="146" spans="1:25" s="48" customFormat="1" ht="22.05" customHeight="1" x14ac:dyDescent="0.3">
      <c r="A146" s="20"/>
      <c r="B146" s="290"/>
      <c r="C146" s="248" t="s">
        <v>221</v>
      </c>
      <c r="D146" s="249"/>
      <c r="E146" s="51">
        <v>50</v>
      </c>
      <c r="F146" s="52">
        <v>0.95</v>
      </c>
      <c r="G146" s="52">
        <v>4.78</v>
      </c>
      <c r="H146" s="52">
        <v>14.44</v>
      </c>
      <c r="I146" s="52">
        <v>110</v>
      </c>
      <c r="J146" s="53" t="s">
        <v>63</v>
      </c>
      <c r="K146" s="145">
        <v>15</v>
      </c>
      <c r="L146" s="152"/>
      <c r="M146" s="140">
        <v>0.06</v>
      </c>
      <c r="N146" s="87">
        <v>0.04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19.28</v>
      </c>
      <c r="U146" s="87">
        <v>0</v>
      </c>
      <c r="V146" s="87">
        <v>0</v>
      </c>
      <c r="W146" s="87">
        <v>1.04</v>
      </c>
      <c r="X146" s="87">
        <v>0</v>
      </c>
      <c r="Y146" s="87">
        <v>0</v>
      </c>
    </row>
    <row r="147" spans="1:25" s="50" customFormat="1" ht="22.05" customHeight="1" x14ac:dyDescent="0.3">
      <c r="A147" s="14"/>
      <c r="B147" s="44"/>
      <c r="C147" s="263" t="s">
        <v>108</v>
      </c>
      <c r="D147" s="264"/>
      <c r="E147" s="45">
        <f>SUM(E140:E146)</f>
        <v>710</v>
      </c>
      <c r="F147" s="58">
        <f>SUM(F140:F146)</f>
        <v>28.274000000000001</v>
      </c>
      <c r="G147" s="58">
        <f>SUM(G140:G146)</f>
        <v>18.529</v>
      </c>
      <c r="H147" s="58">
        <f>SUM(H140:H146)</f>
        <v>136.42100000000002</v>
      </c>
      <c r="I147" s="58">
        <f>SUM(I140:I146)</f>
        <v>820.84000000000015</v>
      </c>
      <c r="J147" s="45"/>
      <c r="K147" s="150">
        <f>SUM(K140:K146)</f>
        <v>102</v>
      </c>
      <c r="L147" s="154"/>
      <c r="M147" s="142">
        <f t="shared" ref="M147:Y147" si="37">SUM(M140:M146)</f>
        <v>0.53316666666666668</v>
      </c>
      <c r="N147" s="111">
        <f t="shared" si="37"/>
        <v>18.700666666666667</v>
      </c>
      <c r="O147" s="111">
        <f t="shared" si="37"/>
        <v>25.63</v>
      </c>
      <c r="P147" s="111">
        <f t="shared" si="37"/>
        <v>9.3559999999999999</v>
      </c>
      <c r="Q147" s="111">
        <f t="shared" si="37"/>
        <v>1.5979999999999999</v>
      </c>
      <c r="R147" s="111">
        <f t="shared" si="37"/>
        <v>886.81000000000006</v>
      </c>
      <c r="S147" s="111">
        <f t="shared" si="37"/>
        <v>369.61</v>
      </c>
      <c r="T147" s="111">
        <f t="shared" si="37"/>
        <v>154.429</v>
      </c>
      <c r="U147" s="111">
        <f t="shared" si="37"/>
        <v>129</v>
      </c>
      <c r="V147" s="111">
        <f t="shared" si="37"/>
        <v>331.04</v>
      </c>
      <c r="W147" s="111">
        <f t="shared" si="37"/>
        <v>6.2066666666666661</v>
      </c>
      <c r="X147" s="111">
        <f t="shared" si="37"/>
        <v>35</v>
      </c>
      <c r="Y147" s="111">
        <f t="shared" si="37"/>
        <v>46.148000000000003</v>
      </c>
    </row>
    <row r="148" spans="1:25" ht="22.05" customHeight="1" x14ac:dyDescent="0.3">
      <c r="B148" s="284" t="s">
        <v>41</v>
      </c>
      <c r="C148" s="284"/>
      <c r="D148" s="284"/>
      <c r="E148" s="284"/>
      <c r="F148" s="284"/>
      <c r="G148" s="284"/>
      <c r="H148" s="284"/>
      <c r="I148" s="284"/>
      <c r="J148" s="5"/>
      <c r="K148" s="66"/>
      <c r="L148" s="66"/>
    </row>
    <row r="149" spans="1:25" ht="22.05" customHeight="1" x14ac:dyDescent="0.3">
      <c r="B149" s="284"/>
      <c r="C149" s="284"/>
      <c r="D149" s="284"/>
      <c r="E149" s="284"/>
      <c r="F149" s="284"/>
      <c r="G149" s="284"/>
      <c r="H149" s="284"/>
      <c r="I149" s="284"/>
      <c r="J149" s="6"/>
      <c r="K149" s="66"/>
      <c r="L149" s="66"/>
    </row>
    <row r="150" spans="1:25" ht="22.05" customHeight="1" x14ac:dyDescent="0.3">
      <c r="B150" s="284"/>
      <c r="C150" s="284"/>
      <c r="D150" s="284"/>
      <c r="E150" s="284"/>
      <c r="F150" s="284"/>
      <c r="G150" s="284"/>
      <c r="H150" s="284"/>
      <c r="I150" s="284"/>
      <c r="J150" s="7"/>
      <c r="K150" s="66"/>
      <c r="L150" s="66"/>
    </row>
    <row r="151" spans="1:25" ht="22.05" customHeight="1" x14ac:dyDescent="0.3">
      <c r="B151" s="285"/>
      <c r="C151" s="285"/>
      <c r="D151" s="285"/>
      <c r="E151" s="285"/>
      <c r="F151" s="285"/>
      <c r="G151" s="285"/>
      <c r="H151" s="285"/>
      <c r="I151" s="285"/>
      <c r="J151" s="27"/>
      <c r="K151" s="66"/>
      <c r="L151" s="66"/>
    </row>
    <row r="152" spans="1:25" ht="22.05" customHeight="1" x14ac:dyDescent="0.3">
      <c r="B152" s="286" t="s">
        <v>57</v>
      </c>
      <c r="C152" s="286"/>
      <c r="D152" s="286"/>
      <c r="E152" s="286"/>
      <c r="F152" s="286"/>
      <c r="G152" s="286"/>
      <c r="H152" s="286"/>
      <c r="I152" s="286"/>
      <c r="J152" s="22">
        <v>1</v>
      </c>
    </row>
    <row r="153" spans="1:25" ht="22.05" customHeight="1" x14ac:dyDescent="0.3">
      <c r="B153" s="287" t="s">
        <v>45</v>
      </c>
      <c r="C153" s="287"/>
      <c r="D153" s="287"/>
      <c r="E153" s="287"/>
      <c r="F153" s="287"/>
      <c r="G153" s="287"/>
      <c r="H153" s="287"/>
      <c r="I153" s="287"/>
      <c r="J153" s="22">
        <v>2</v>
      </c>
      <c r="K153" s="66"/>
      <c r="L153" s="66"/>
    </row>
    <row r="154" spans="1:25" ht="22.05" customHeight="1" x14ac:dyDescent="0.3">
      <c r="B154" s="287" t="s">
        <v>46</v>
      </c>
      <c r="C154" s="287"/>
      <c r="D154" s="287"/>
      <c r="E154" s="287"/>
      <c r="F154" s="287"/>
      <c r="G154" s="287"/>
      <c r="H154" s="287"/>
      <c r="I154" s="287"/>
      <c r="J154" s="22">
        <v>3</v>
      </c>
      <c r="K154" s="66"/>
      <c r="L154" s="66"/>
    </row>
    <row r="155" spans="1:25" ht="22.05" customHeight="1" x14ac:dyDescent="0.3">
      <c r="B155" s="283" t="s">
        <v>48</v>
      </c>
      <c r="C155" s="283"/>
      <c r="D155" s="283"/>
      <c r="E155" s="283"/>
      <c r="F155" s="283"/>
      <c r="G155" s="283"/>
      <c r="H155" s="283"/>
      <c r="I155" s="283"/>
      <c r="J155" s="22">
        <v>4</v>
      </c>
      <c r="K155" s="66"/>
      <c r="L155" s="66"/>
    </row>
    <row r="156" spans="1:25" ht="22.05" customHeight="1" x14ac:dyDescent="0.3">
      <c r="B156" s="30"/>
      <c r="C156" s="8"/>
      <c r="D156" s="8"/>
      <c r="E156" s="8"/>
      <c r="F156" s="8"/>
      <c r="G156" s="8"/>
      <c r="H156" s="8"/>
      <c r="I156" s="8"/>
      <c r="J156" s="8"/>
      <c r="K156" s="66"/>
      <c r="L156" s="66"/>
    </row>
  </sheetData>
  <mergeCells count="224">
    <mergeCell ref="B69:D69"/>
    <mergeCell ref="J71:J72"/>
    <mergeCell ref="C79:D79"/>
    <mergeCell ref="C66:D66"/>
    <mergeCell ref="C67:D67"/>
    <mergeCell ref="B139:K139"/>
    <mergeCell ref="C130:D130"/>
    <mergeCell ref="C131:D131"/>
    <mergeCell ref="C120:D120"/>
    <mergeCell ref="C114:D114"/>
    <mergeCell ref="B114:B119"/>
    <mergeCell ref="C137:D138"/>
    <mergeCell ref="B124:B125"/>
    <mergeCell ref="C124:D125"/>
    <mergeCell ref="E124:E125"/>
    <mergeCell ref="B137:B138"/>
    <mergeCell ref="B136:K136"/>
    <mergeCell ref="F137:H137"/>
    <mergeCell ref="J137:J138"/>
    <mergeCell ref="K137:K138"/>
    <mergeCell ref="C118:D118"/>
    <mergeCell ref="I137:I138"/>
    <mergeCell ref="E137:E138"/>
    <mergeCell ref="C129:D129"/>
    <mergeCell ref="C62:D62"/>
    <mergeCell ref="C63:D63"/>
    <mergeCell ref="B110:K110"/>
    <mergeCell ref="C91:D91"/>
    <mergeCell ref="C101:D101"/>
    <mergeCell ref="C103:D103"/>
    <mergeCell ref="C98:D99"/>
    <mergeCell ref="C94:D94"/>
    <mergeCell ref="B100:K100"/>
    <mergeCell ref="C93:D93"/>
    <mergeCell ref="C102:D102"/>
    <mergeCell ref="B83:K83"/>
    <mergeCell ref="I98:I99"/>
    <mergeCell ref="B97:K97"/>
    <mergeCell ref="K84:K85"/>
    <mergeCell ref="B86:K86"/>
    <mergeCell ref="E84:E85"/>
    <mergeCell ref="B84:B85"/>
    <mergeCell ref="C84:D85"/>
    <mergeCell ref="F84:H84"/>
    <mergeCell ref="C88:D88"/>
    <mergeCell ref="E98:E99"/>
    <mergeCell ref="C80:D80"/>
    <mergeCell ref="F71:H71"/>
    <mergeCell ref="B47:K47"/>
    <mergeCell ref="K71:K72"/>
    <mergeCell ref="I57:I58"/>
    <mergeCell ref="B57:B58"/>
    <mergeCell ref="C57:D58"/>
    <mergeCell ref="E57:E58"/>
    <mergeCell ref="F57:H57"/>
    <mergeCell ref="B48:B53"/>
    <mergeCell ref="C49:D49"/>
    <mergeCell ref="C50:D50"/>
    <mergeCell ref="C52:D52"/>
    <mergeCell ref="C54:D54"/>
    <mergeCell ref="B70:K70"/>
    <mergeCell ref="C53:D53"/>
    <mergeCell ref="C51:D51"/>
    <mergeCell ref="B71:B72"/>
    <mergeCell ref="C71:D72"/>
    <mergeCell ref="E71:E72"/>
    <mergeCell ref="C48:D48"/>
    <mergeCell ref="C65:D65"/>
    <mergeCell ref="C60:D60"/>
    <mergeCell ref="I71:I72"/>
    <mergeCell ref="J57:J58"/>
    <mergeCell ref="B59:K59"/>
    <mergeCell ref="K57:K58"/>
    <mergeCell ref="B56:K56"/>
    <mergeCell ref="C61:D61"/>
    <mergeCell ref="J84:J85"/>
    <mergeCell ref="B88:B93"/>
    <mergeCell ref="B98:B99"/>
    <mergeCell ref="K98:K99"/>
    <mergeCell ref="C92:D92"/>
    <mergeCell ref="F98:H98"/>
    <mergeCell ref="J98:J99"/>
    <mergeCell ref="C89:D89"/>
    <mergeCell ref="C87:D87"/>
    <mergeCell ref="B82:D82"/>
    <mergeCell ref="C78:D78"/>
    <mergeCell ref="C75:D75"/>
    <mergeCell ref="C64:D64"/>
    <mergeCell ref="B60:B66"/>
    <mergeCell ref="B73:K73"/>
    <mergeCell ref="B74:B78"/>
    <mergeCell ref="C74:D74"/>
    <mergeCell ref="C76:D76"/>
    <mergeCell ref="C77:D77"/>
    <mergeCell ref="I84:I85"/>
    <mergeCell ref="C90:D90"/>
    <mergeCell ref="C128:D128"/>
    <mergeCell ref="I124:I125"/>
    <mergeCell ref="B155:I155"/>
    <mergeCell ref="B148:I150"/>
    <mergeCell ref="B151:I151"/>
    <mergeCell ref="B152:I152"/>
    <mergeCell ref="B153:I153"/>
    <mergeCell ref="B154:I154"/>
    <mergeCell ref="C147:D147"/>
    <mergeCell ref="C146:D146"/>
    <mergeCell ref="C141:D141"/>
    <mergeCell ref="C143:D143"/>
    <mergeCell ref="B140:B146"/>
    <mergeCell ref="C140:D140"/>
    <mergeCell ref="C142:D142"/>
    <mergeCell ref="C145:D145"/>
    <mergeCell ref="C144:D144"/>
    <mergeCell ref="C132:D132"/>
    <mergeCell ref="C133:D133"/>
    <mergeCell ref="B127:B132"/>
    <mergeCell ref="J124:J125"/>
    <mergeCell ref="B126:K126"/>
    <mergeCell ref="C116:D116"/>
    <mergeCell ref="C107:D107"/>
    <mergeCell ref="C104:D104"/>
    <mergeCell ref="B123:K123"/>
    <mergeCell ref="C127:D127"/>
    <mergeCell ref="K124:K125"/>
    <mergeCell ref="K111:K112"/>
    <mergeCell ref="J111:J112"/>
    <mergeCell ref="C115:D115"/>
    <mergeCell ref="B111:B112"/>
    <mergeCell ref="C111:D112"/>
    <mergeCell ref="E111:E112"/>
    <mergeCell ref="F111:H111"/>
    <mergeCell ref="I111:I112"/>
    <mergeCell ref="C106:D106"/>
    <mergeCell ref="C119:D119"/>
    <mergeCell ref="C105:D105"/>
    <mergeCell ref="B113:K113"/>
    <mergeCell ref="B101:B106"/>
    <mergeCell ref="C117:D117"/>
    <mergeCell ref="F124:H124"/>
    <mergeCell ref="B1:J1"/>
    <mergeCell ref="H5:J5"/>
    <mergeCell ref="G6:J6"/>
    <mergeCell ref="G7:J7"/>
    <mergeCell ref="G8:J8"/>
    <mergeCell ref="B22:B27"/>
    <mergeCell ref="B35:B40"/>
    <mergeCell ref="B17:D17"/>
    <mergeCell ref="B19:B20"/>
    <mergeCell ref="C19:D20"/>
    <mergeCell ref="C28:D28"/>
    <mergeCell ref="C30:D30"/>
    <mergeCell ref="C25:D25"/>
    <mergeCell ref="C27:D27"/>
    <mergeCell ref="C36:D36"/>
    <mergeCell ref="C38:D38"/>
    <mergeCell ref="C26:D26"/>
    <mergeCell ref="C40:D40"/>
    <mergeCell ref="B2:J2"/>
    <mergeCell ref="B3:J3"/>
    <mergeCell ref="B34:K34"/>
    <mergeCell ref="K32:K33"/>
    <mergeCell ref="C39:D39"/>
    <mergeCell ref="B12:J12"/>
    <mergeCell ref="B45:B46"/>
    <mergeCell ref="J45:J46"/>
    <mergeCell ref="E45:E46"/>
    <mergeCell ref="F45:H45"/>
    <mergeCell ref="I45:I46"/>
    <mergeCell ref="C45:D46"/>
    <mergeCell ref="J32:J33"/>
    <mergeCell ref="B44:K44"/>
    <mergeCell ref="C37:D37"/>
    <mergeCell ref="C35:D35"/>
    <mergeCell ref="C32:D33"/>
    <mergeCell ref="E32:E33"/>
    <mergeCell ref="F32:H32"/>
    <mergeCell ref="I32:I33"/>
    <mergeCell ref="C41:D41"/>
    <mergeCell ref="K45:K46"/>
    <mergeCell ref="B18:K18"/>
    <mergeCell ref="B31:K31"/>
    <mergeCell ref="J19:J20"/>
    <mergeCell ref="E19:E20"/>
    <mergeCell ref="F19:H19"/>
    <mergeCell ref="I19:I20"/>
    <mergeCell ref="C24:D24"/>
    <mergeCell ref="B32:B33"/>
    <mergeCell ref="K19:K20"/>
    <mergeCell ref="B14:J14"/>
    <mergeCell ref="B15:J15"/>
    <mergeCell ref="B21:K21"/>
    <mergeCell ref="B13:J13"/>
    <mergeCell ref="C22:D22"/>
    <mergeCell ref="C23:D23"/>
    <mergeCell ref="M137:Y137"/>
    <mergeCell ref="M138:Y138"/>
    <mergeCell ref="M71:Y71"/>
    <mergeCell ref="M72:Y72"/>
    <mergeCell ref="M84:Y84"/>
    <mergeCell ref="M85:Y85"/>
    <mergeCell ref="M98:Y98"/>
    <mergeCell ref="M99:Y99"/>
    <mergeCell ref="M111:Y111"/>
    <mergeCell ref="M112:Y112"/>
    <mergeCell ref="M124:Y124"/>
    <mergeCell ref="M125:Y125"/>
    <mergeCell ref="M136:Y136"/>
    <mergeCell ref="M18:Y18"/>
    <mergeCell ref="M31:Y31"/>
    <mergeCell ref="M56:Y56"/>
    <mergeCell ref="M44:Y44"/>
    <mergeCell ref="M70:Y70"/>
    <mergeCell ref="M83:Y83"/>
    <mergeCell ref="M97:Y97"/>
    <mergeCell ref="M110:Y110"/>
    <mergeCell ref="M123:Y123"/>
    <mergeCell ref="M20:Y20"/>
    <mergeCell ref="M19:Y19"/>
    <mergeCell ref="M33:Y33"/>
    <mergeCell ref="M32:Y32"/>
    <mergeCell ref="M57:Y57"/>
    <mergeCell ref="M58:Y58"/>
    <mergeCell ref="M45:Y45"/>
    <mergeCell ref="M46:Y4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1" manualBreakCount="11">
    <brk id="16" max="16383" man="1"/>
    <brk id="29" max="16383" man="1"/>
    <brk id="42" max="16383" man="1"/>
    <brk id="54" max="16383" man="1"/>
    <brk id="68" max="23" man="1"/>
    <brk id="81" max="23" man="1"/>
    <brk id="95" max="16383" man="1"/>
    <brk id="108" max="16383" man="1"/>
    <brk id="121" max="16383" man="1"/>
    <brk id="134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56"/>
  <sheetViews>
    <sheetView topLeftCell="A136" zoomScale="90" zoomScaleNormal="90" workbookViewId="0">
      <selection activeCell="B148" sqref="B148:I150"/>
    </sheetView>
  </sheetViews>
  <sheetFormatPr defaultColWidth="9.109375" defaultRowHeight="22.05" customHeight="1" x14ac:dyDescent="0.3"/>
  <cols>
    <col min="1" max="1" width="7.109375" style="1" customWidth="1"/>
    <col min="2" max="2" width="7.33203125" style="4" customWidth="1"/>
    <col min="3" max="3" width="9.109375" style="1" customWidth="1"/>
    <col min="4" max="4" width="42.44140625" style="1" customWidth="1"/>
    <col min="5" max="5" width="9.109375" style="1" customWidth="1"/>
    <col min="6" max="6" width="9" style="1" customWidth="1"/>
    <col min="7" max="7" width="9.44140625" style="1" customWidth="1"/>
    <col min="8" max="8" width="12.5546875" style="1" customWidth="1"/>
    <col min="9" max="9" width="12" style="1" customWidth="1"/>
    <col min="10" max="10" width="16.5546875" style="1" customWidth="1"/>
    <col min="11" max="11" width="12.5546875" style="143" hidden="1" customWidth="1"/>
    <col min="12" max="12" width="2.109375" style="143" customWidth="1"/>
    <col min="13" max="14" width="6.77734375" customWidth="1"/>
    <col min="15" max="15" width="8" customWidth="1"/>
    <col min="16" max="17" width="6.77734375" customWidth="1"/>
    <col min="18" max="18" width="8.21875" customWidth="1"/>
    <col min="19" max="19" width="7.88671875" customWidth="1"/>
    <col min="20" max="20" width="7.6640625" customWidth="1"/>
    <col min="21" max="21" width="7.44140625" customWidth="1"/>
    <col min="22" max="22" width="7.6640625" customWidth="1"/>
    <col min="23" max="25" width="6.77734375" customWidth="1"/>
  </cols>
  <sheetData>
    <row r="1" spans="2:26" ht="22.05" customHeight="1" x14ac:dyDescent="0.3">
      <c r="B1" s="265" t="s">
        <v>105</v>
      </c>
      <c r="C1" s="265"/>
      <c r="D1" s="265"/>
      <c r="E1" s="265"/>
      <c r="F1" s="265"/>
      <c r="G1" s="265"/>
      <c r="H1" s="265"/>
      <c r="I1" s="265"/>
      <c r="J1" s="265"/>
    </row>
    <row r="2" spans="2:26" ht="16.2" customHeight="1" x14ac:dyDescent="0.3">
      <c r="B2" s="275" t="s">
        <v>98</v>
      </c>
      <c r="C2" s="275"/>
      <c r="D2" s="275"/>
      <c r="E2" s="275"/>
      <c r="F2" s="275"/>
      <c r="G2" s="275"/>
      <c r="H2" s="275"/>
      <c r="I2" s="275"/>
      <c r="J2" s="275"/>
    </row>
    <row r="3" spans="2:26" ht="13.8" customHeight="1" x14ac:dyDescent="0.3">
      <c r="B3" s="276" t="s">
        <v>99</v>
      </c>
      <c r="C3" s="276"/>
      <c r="D3" s="276"/>
      <c r="E3" s="276"/>
      <c r="F3" s="276"/>
      <c r="G3" s="276"/>
      <c r="H3" s="276"/>
      <c r="I3" s="276"/>
      <c r="J3" s="276"/>
    </row>
    <row r="4" spans="2:26" ht="22.05" customHeight="1" x14ac:dyDescent="0.3">
      <c r="B4" s="66"/>
      <c r="C4" s="66"/>
      <c r="D4" s="66"/>
      <c r="E4" s="66"/>
      <c r="F4" s="66"/>
      <c r="G4" s="66"/>
      <c r="H4" s="66"/>
      <c r="I4" s="66"/>
      <c r="J4" s="66"/>
    </row>
    <row r="5" spans="2:26" ht="22.05" customHeight="1" x14ac:dyDescent="0.3">
      <c r="B5" s="66"/>
      <c r="C5" s="66"/>
      <c r="D5" s="66"/>
      <c r="E5" s="66"/>
      <c r="F5" s="66"/>
      <c r="G5" s="65"/>
      <c r="H5" s="266" t="s">
        <v>106</v>
      </c>
      <c r="I5" s="266"/>
      <c r="J5" s="266"/>
    </row>
    <row r="6" spans="2:26" ht="22.05" customHeight="1" x14ac:dyDescent="0.3">
      <c r="B6" s="66"/>
      <c r="C6" s="66"/>
      <c r="D6" s="66"/>
      <c r="E6" s="66"/>
      <c r="F6" s="66"/>
      <c r="G6" s="266" t="s">
        <v>188</v>
      </c>
      <c r="H6" s="266"/>
      <c r="I6" s="266"/>
      <c r="J6" s="266"/>
      <c r="K6" s="144"/>
      <c r="L6" s="144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2:26" ht="22.05" customHeight="1" x14ac:dyDescent="0.3">
      <c r="B7" s="66"/>
      <c r="C7" s="66"/>
      <c r="D7" s="66"/>
      <c r="E7" s="66"/>
      <c r="F7" s="66"/>
      <c r="G7" s="266" t="s">
        <v>186</v>
      </c>
      <c r="H7" s="266"/>
      <c r="I7" s="266"/>
      <c r="J7" s="266"/>
      <c r="K7" s="144"/>
      <c r="L7" s="144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2:26" ht="22.05" customHeight="1" x14ac:dyDescent="0.3">
      <c r="B8" s="33"/>
      <c r="C8" s="33"/>
      <c r="D8" s="33"/>
      <c r="E8" s="33"/>
      <c r="F8" s="33"/>
      <c r="G8" s="267" t="s">
        <v>189</v>
      </c>
      <c r="H8" s="267"/>
      <c r="I8" s="267"/>
      <c r="J8" s="267"/>
      <c r="K8" s="144"/>
      <c r="L8" s="144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2:26" ht="22.05" customHeight="1" x14ac:dyDescent="0.3">
      <c r="B9" s="33"/>
      <c r="C9" s="33"/>
      <c r="D9" s="33"/>
      <c r="E9" s="33"/>
      <c r="F9" s="33"/>
      <c r="G9" s="33"/>
      <c r="H9" s="33"/>
      <c r="I9" s="33"/>
      <c r="J9" s="33"/>
      <c r="K9" s="144"/>
      <c r="L9" s="144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2:26" ht="22.05" customHeight="1" x14ac:dyDescent="0.45">
      <c r="B10" s="32"/>
      <c r="C10" s="32"/>
      <c r="D10" s="32"/>
      <c r="E10" s="32"/>
      <c r="F10" s="32"/>
      <c r="G10" s="32"/>
      <c r="H10" s="32"/>
      <c r="I10" s="32"/>
      <c r="J10" s="29"/>
      <c r="K10" s="144"/>
      <c r="L10" s="144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26" ht="22.05" customHeight="1" x14ac:dyDescent="0.45">
      <c r="B11" s="32"/>
      <c r="C11" s="32"/>
      <c r="D11" s="32"/>
      <c r="E11" s="32"/>
      <c r="F11" s="32"/>
      <c r="G11" s="32"/>
      <c r="H11" s="32"/>
      <c r="I11" s="32"/>
      <c r="J11" s="29"/>
      <c r="K11" s="144"/>
      <c r="L11" s="144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2:26" ht="22.05" customHeight="1" x14ac:dyDescent="0.4">
      <c r="B12" s="277" t="s">
        <v>102</v>
      </c>
      <c r="C12" s="278"/>
      <c r="D12" s="278"/>
      <c r="E12" s="278"/>
      <c r="F12" s="278"/>
      <c r="G12" s="278"/>
      <c r="H12" s="278"/>
      <c r="I12" s="278"/>
      <c r="J12" s="279"/>
      <c r="K12" s="144"/>
      <c r="L12" s="144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2:26" ht="22.05" customHeight="1" x14ac:dyDescent="0.4">
      <c r="B13" s="239" t="s">
        <v>103</v>
      </c>
      <c r="C13" s="240"/>
      <c r="D13" s="240"/>
      <c r="E13" s="240"/>
      <c r="F13" s="240"/>
      <c r="G13" s="240"/>
      <c r="H13" s="240"/>
      <c r="I13" s="240"/>
      <c r="J13" s="241"/>
      <c r="K13" s="144"/>
      <c r="L13" s="144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2:26" ht="22.05" customHeight="1" x14ac:dyDescent="0.4">
      <c r="B14" s="239" t="s">
        <v>97</v>
      </c>
      <c r="C14" s="240"/>
      <c r="D14" s="240"/>
      <c r="E14" s="240"/>
      <c r="F14" s="240"/>
      <c r="G14" s="240"/>
      <c r="H14" s="240"/>
      <c r="I14" s="240"/>
      <c r="J14" s="241"/>
      <c r="K14" s="144"/>
      <c r="L14" s="144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2:26" ht="22.05" customHeight="1" x14ac:dyDescent="0.4">
      <c r="B15" s="242" t="s">
        <v>160</v>
      </c>
      <c r="C15" s="243"/>
      <c r="D15" s="243"/>
      <c r="E15" s="243"/>
      <c r="F15" s="243"/>
      <c r="G15" s="243"/>
      <c r="H15" s="243"/>
      <c r="I15" s="243"/>
      <c r="J15" s="244"/>
      <c r="K15" s="144"/>
      <c r="L15" s="144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6" ht="22.05" customHeight="1" x14ac:dyDescent="0.3">
      <c r="B16" s="2"/>
      <c r="C16" s="2"/>
      <c r="D16" s="3"/>
      <c r="E16" s="206" t="s">
        <v>182</v>
      </c>
      <c r="F16" s="206">
        <v>7.6</v>
      </c>
      <c r="G16" s="206">
        <v>0.9</v>
      </c>
      <c r="H16" s="206">
        <v>49.7</v>
      </c>
      <c r="I16" s="206">
        <v>226</v>
      </c>
      <c r="J16" s="209"/>
      <c r="K16" s="207" t="s">
        <v>171</v>
      </c>
      <c r="L16" s="207"/>
      <c r="M16" s="210">
        <v>0.16400000000000001</v>
      </c>
      <c r="N16" s="210">
        <v>0.10100000000000001</v>
      </c>
      <c r="O16" s="210">
        <v>0</v>
      </c>
      <c r="P16" s="210">
        <v>2.2400000000000002</v>
      </c>
      <c r="Q16" s="210">
        <v>0.08</v>
      </c>
      <c r="R16" s="210">
        <v>189.2</v>
      </c>
      <c r="S16" s="210">
        <v>50</v>
      </c>
      <c r="T16" s="210">
        <v>1.96</v>
      </c>
      <c r="U16" s="210">
        <v>16.399999999999999</v>
      </c>
      <c r="V16" s="210">
        <v>51.6</v>
      </c>
      <c r="W16" s="210">
        <v>1.44</v>
      </c>
      <c r="X16" s="210">
        <v>0</v>
      </c>
      <c r="Y16" s="210">
        <v>11.52</v>
      </c>
      <c r="Z16" s="19"/>
    </row>
    <row r="17" spans="1:25" s="19" customFormat="1" ht="22.05" customHeight="1" x14ac:dyDescent="0.3">
      <c r="A17" s="17"/>
      <c r="B17" s="271"/>
      <c r="C17" s="271"/>
      <c r="D17" s="271"/>
      <c r="E17" s="206" t="s">
        <v>183</v>
      </c>
      <c r="F17" s="206">
        <v>4.7</v>
      </c>
      <c r="G17" s="206">
        <v>0.7</v>
      </c>
      <c r="H17" s="206">
        <v>49.8</v>
      </c>
      <c r="I17" s="206">
        <v>214</v>
      </c>
      <c r="J17" s="206"/>
      <c r="K17" s="207" t="s">
        <v>172</v>
      </c>
      <c r="L17" s="207"/>
      <c r="M17" s="210">
        <v>0.17</v>
      </c>
      <c r="N17" s="210">
        <v>0.13</v>
      </c>
      <c r="O17" s="210">
        <v>0</v>
      </c>
      <c r="P17" s="210">
        <v>1.52</v>
      </c>
      <c r="Q17" s="210">
        <v>0.16</v>
      </c>
      <c r="R17" s="210">
        <v>241.2</v>
      </c>
      <c r="S17" s="210">
        <v>29.2</v>
      </c>
      <c r="T17" s="210">
        <v>0.48</v>
      </c>
      <c r="U17" s="210">
        <v>16</v>
      </c>
      <c r="V17" s="210">
        <v>50</v>
      </c>
      <c r="W17" s="210">
        <v>1.1299999999999999</v>
      </c>
      <c r="X17" s="210">
        <v>0</v>
      </c>
      <c r="Y17" s="210">
        <v>12.36</v>
      </c>
    </row>
    <row r="18" spans="1:25" s="48" customFormat="1" ht="22.05" customHeight="1" x14ac:dyDescent="0.3">
      <c r="A18" s="20"/>
      <c r="B18" s="252" t="s">
        <v>62</v>
      </c>
      <c r="C18" s="252"/>
      <c r="D18" s="252"/>
      <c r="E18" s="252"/>
      <c r="F18" s="252"/>
      <c r="G18" s="252"/>
      <c r="H18" s="252"/>
      <c r="I18" s="252"/>
      <c r="J18" s="252"/>
      <c r="K18" s="252"/>
      <c r="L18" s="159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</row>
    <row r="19" spans="1:25" s="48" customFormat="1" ht="22.05" customHeight="1" x14ac:dyDescent="0.3">
      <c r="A19" s="20"/>
      <c r="B19" s="303" t="s">
        <v>73</v>
      </c>
      <c r="C19" s="252" t="s">
        <v>1</v>
      </c>
      <c r="D19" s="252"/>
      <c r="E19" s="303" t="s">
        <v>74</v>
      </c>
      <c r="F19" s="252" t="s">
        <v>3</v>
      </c>
      <c r="G19" s="252"/>
      <c r="H19" s="252"/>
      <c r="I19" s="303" t="s">
        <v>145</v>
      </c>
      <c r="J19" s="252" t="s">
        <v>75</v>
      </c>
      <c r="K19" s="252" t="s">
        <v>185</v>
      </c>
      <c r="L19" s="155"/>
      <c r="M19" s="237" t="s">
        <v>159</v>
      </c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</row>
    <row r="20" spans="1:25" s="48" customFormat="1" ht="41.4" customHeight="1" x14ac:dyDescent="0.3">
      <c r="A20" s="20"/>
      <c r="B20" s="303"/>
      <c r="C20" s="252"/>
      <c r="D20" s="252"/>
      <c r="E20" s="303"/>
      <c r="F20" s="195" t="s">
        <v>142</v>
      </c>
      <c r="G20" s="195" t="s">
        <v>143</v>
      </c>
      <c r="H20" s="195" t="s">
        <v>144</v>
      </c>
      <c r="I20" s="303"/>
      <c r="J20" s="252"/>
      <c r="K20" s="252"/>
      <c r="L20" s="156"/>
      <c r="M20" s="238" t="s">
        <v>88</v>
      </c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</row>
    <row r="21" spans="1:25" s="50" customFormat="1" ht="22.05" customHeight="1" x14ac:dyDescent="0.3">
      <c r="A21" s="14"/>
      <c r="B21" s="301" t="s">
        <v>88</v>
      </c>
      <c r="C21" s="301"/>
      <c r="D21" s="301"/>
      <c r="E21" s="301"/>
      <c r="F21" s="301"/>
      <c r="G21" s="301"/>
      <c r="H21" s="301"/>
      <c r="I21" s="301"/>
      <c r="J21" s="301"/>
      <c r="K21" s="301"/>
      <c r="L21" s="153"/>
      <c r="M21" s="88" t="s">
        <v>146</v>
      </c>
      <c r="N21" s="88" t="s">
        <v>147</v>
      </c>
      <c r="O21" s="88" t="s">
        <v>148</v>
      </c>
      <c r="P21" s="88" t="s">
        <v>150</v>
      </c>
      <c r="Q21" s="88" t="s">
        <v>149</v>
      </c>
      <c r="R21" s="88" t="s">
        <v>151</v>
      </c>
      <c r="S21" s="88" t="s">
        <v>152</v>
      </c>
      <c r="T21" s="88" t="s">
        <v>153</v>
      </c>
      <c r="U21" s="88" t="s">
        <v>154</v>
      </c>
      <c r="V21" s="88" t="s">
        <v>155</v>
      </c>
      <c r="W21" s="88" t="s">
        <v>156</v>
      </c>
      <c r="X21" s="88" t="s">
        <v>157</v>
      </c>
      <c r="Y21" s="88" t="s">
        <v>158</v>
      </c>
    </row>
    <row r="22" spans="1:25" s="48" customFormat="1" ht="22.05" customHeight="1" x14ac:dyDescent="0.3">
      <c r="A22" s="20"/>
      <c r="B22" s="302"/>
      <c r="C22" s="280" t="s">
        <v>72</v>
      </c>
      <c r="D22" s="280"/>
      <c r="E22" s="51">
        <v>80</v>
      </c>
      <c r="F22" s="52">
        <v>0.5</v>
      </c>
      <c r="G22" s="52">
        <v>0</v>
      </c>
      <c r="H22" s="52">
        <v>303</v>
      </c>
      <c r="I22" s="52">
        <v>15.3</v>
      </c>
      <c r="J22" s="53" t="s">
        <v>203</v>
      </c>
      <c r="K22" s="145">
        <v>21.7</v>
      </c>
      <c r="L22" s="145"/>
      <c r="M22" s="87">
        <v>0.05</v>
      </c>
      <c r="N22" s="87">
        <v>0.03</v>
      </c>
      <c r="O22" s="87">
        <v>107</v>
      </c>
      <c r="P22" s="87">
        <v>0.43</v>
      </c>
      <c r="Q22" s="87">
        <v>20</v>
      </c>
      <c r="R22" s="87">
        <v>32</v>
      </c>
      <c r="S22" s="87">
        <v>232</v>
      </c>
      <c r="T22" s="87">
        <v>11</v>
      </c>
      <c r="U22" s="87">
        <v>16</v>
      </c>
      <c r="V22" s="87">
        <v>21</v>
      </c>
      <c r="W22" s="87">
        <v>1</v>
      </c>
      <c r="X22" s="87">
        <v>1.6</v>
      </c>
      <c r="Y22" s="87">
        <v>0</v>
      </c>
    </row>
    <row r="23" spans="1:25" s="48" customFormat="1" ht="22.05" customHeight="1" x14ac:dyDescent="0.3">
      <c r="A23" s="20"/>
      <c r="B23" s="302"/>
      <c r="C23" s="280" t="s">
        <v>37</v>
      </c>
      <c r="D23" s="280"/>
      <c r="E23" s="51">
        <v>200</v>
      </c>
      <c r="F23" s="52">
        <v>10.199999999999999</v>
      </c>
      <c r="G23" s="52">
        <v>9.4</v>
      </c>
      <c r="H23" s="52">
        <v>40.700000000000003</v>
      </c>
      <c r="I23" s="52">
        <v>288.8</v>
      </c>
      <c r="J23" s="53" t="s">
        <v>222</v>
      </c>
      <c r="K23" s="145"/>
      <c r="L23" s="145"/>
      <c r="M23" s="87">
        <v>0.08</v>
      </c>
      <c r="N23" s="87">
        <v>0.09</v>
      </c>
      <c r="O23" s="87">
        <v>46</v>
      </c>
      <c r="P23" s="87">
        <v>0.6</v>
      </c>
      <c r="Q23" s="87">
        <v>0</v>
      </c>
      <c r="R23" s="87">
        <v>453</v>
      </c>
      <c r="S23" s="87">
        <v>30</v>
      </c>
      <c r="T23" s="87">
        <v>245</v>
      </c>
      <c r="U23" s="87">
        <v>17</v>
      </c>
      <c r="V23" s="87">
        <v>141</v>
      </c>
      <c r="W23" s="87">
        <v>1</v>
      </c>
      <c r="X23" s="87">
        <v>26.7</v>
      </c>
      <c r="Y23" s="87">
        <v>0</v>
      </c>
    </row>
    <row r="24" spans="1:25" s="48" customFormat="1" ht="22.05" customHeight="1" x14ac:dyDescent="0.3">
      <c r="A24" s="20"/>
      <c r="B24" s="302"/>
      <c r="C24" s="280" t="s">
        <v>114</v>
      </c>
      <c r="D24" s="280"/>
      <c r="E24" s="51">
        <v>40</v>
      </c>
      <c r="F24" s="52">
        <f>F16/100*40</f>
        <v>3.04</v>
      </c>
      <c r="G24" s="52">
        <f t="shared" ref="G24:I24" si="0">G16/100*40</f>
        <v>0.36000000000000004</v>
      </c>
      <c r="H24" s="52">
        <f t="shared" si="0"/>
        <v>19.880000000000003</v>
      </c>
      <c r="I24" s="52">
        <f t="shared" si="0"/>
        <v>90.399999999999991</v>
      </c>
      <c r="J24" s="51" t="s">
        <v>63</v>
      </c>
      <c r="K24" s="145">
        <v>3.64</v>
      </c>
      <c r="L24" s="145"/>
      <c r="M24" s="87">
        <f>M16</f>
        <v>0.16400000000000001</v>
      </c>
      <c r="N24" s="87">
        <f t="shared" ref="N24:Y24" si="1">N16</f>
        <v>0.10100000000000001</v>
      </c>
      <c r="O24" s="87">
        <f t="shared" si="1"/>
        <v>0</v>
      </c>
      <c r="P24" s="87">
        <f t="shared" si="1"/>
        <v>2.2400000000000002</v>
      </c>
      <c r="Q24" s="87">
        <f t="shared" si="1"/>
        <v>0.08</v>
      </c>
      <c r="R24" s="87">
        <f t="shared" si="1"/>
        <v>189.2</v>
      </c>
      <c r="S24" s="87">
        <f t="shared" si="1"/>
        <v>50</v>
      </c>
      <c r="T24" s="87">
        <f t="shared" si="1"/>
        <v>1.96</v>
      </c>
      <c r="U24" s="87">
        <f t="shared" si="1"/>
        <v>16.399999999999999</v>
      </c>
      <c r="V24" s="87">
        <f t="shared" si="1"/>
        <v>51.6</v>
      </c>
      <c r="W24" s="87">
        <f t="shared" si="1"/>
        <v>1.44</v>
      </c>
      <c r="X24" s="87">
        <f t="shared" si="1"/>
        <v>0</v>
      </c>
      <c r="Y24" s="87">
        <f t="shared" si="1"/>
        <v>11.52</v>
      </c>
    </row>
    <row r="25" spans="1:25" s="48" customFormat="1" ht="22.05" customHeight="1" x14ac:dyDescent="0.3">
      <c r="A25" s="20"/>
      <c r="B25" s="302"/>
      <c r="C25" s="280" t="s">
        <v>118</v>
      </c>
      <c r="D25" s="280"/>
      <c r="E25" s="51">
        <v>28</v>
      </c>
      <c r="F25" s="52">
        <f>F17/100*28</f>
        <v>1.3160000000000001</v>
      </c>
      <c r="G25" s="52">
        <f t="shared" ref="G25:I25" si="2">G17/100*28</f>
        <v>0.19599999999999998</v>
      </c>
      <c r="H25" s="52">
        <f t="shared" si="2"/>
        <v>13.943999999999999</v>
      </c>
      <c r="I25" s="52">
        <f t="shared" si="2"/>
        <v>59.92</v>
      </c>
      <c r="J25" s="51" t="s">
        <v>63</v>
      </c>
      <c r="K25" s="145">
        <v>2.64</v>
      </c>
      <c r="L25" s="145"/>
      <c r="M25" s="87">
        <f>M17/40*28</f>
        <v>0.11900000000000001</v>
      </c>
      <c r="N25" s="87">
        <f t="shared" ref="N25:Y25" si="3">N17/40*28</f>
        <v>9.1000000000000011E-2</v>
      </c>
      <c r="O25" s="87">
        <f t="shared" si="3"/>
        <v>0</v>
      </c>
      <c r="P25" s="87">
        <f t="shared" si="3"/>
        <v>1.0640000000000001</v>
      </c>
      <c r="Q25" s="87">
        <f t="shared" si="3"/>
        <v>0.112</v>
      </c>
      <c r="R25" s="87">
        <f t="shared" si="3"/>
        <v>168.83999999999997</v>
      </c>
      <c r="S25" s="87">
        <f t="shared" si="3"/>
        <v>20.439999999999998</v>
      </c>
      <c r="T25" s="87">
        <f t="shared" si="3"/>
        <v>0.33600000000000002</v>
      </c>
      <c r="U25" s="87">
        <f t="shared" si="3"/>
        <v>11.200000000000001</v>
      </c>
      <c r="V25" s="87">
        <f t="shared" si="3"/>
        <v>35</v>
      </c>
      <c r="W25" s="87">
        <f t="shared" si="3"/>
        <v>0.79099999999999993</v>
      </c>
      <c r="X25" s="87">
        <f t="shared" si="3"/>
        <v>0</v>
      </c>
      <c r="Y25" s="87">
        <f t="shared" si="3"/>
        <v>8.6519999999999992</v>
      </c>
    </row>
    <row r="26" spans="1:25" s="48" customFormat="1" ht="22.05" customHeight="1" x14ac:dyDescent="0.3">
      <c r="A26" s="20"/>
      <c r="B26" s="302"/>
      <c r="C26" s="248" t="s">
        <v>190</v>
      </c>
      <c r="D26" s="249"/>
      <c r="E26" s="51">
        <v>200</v>
      </c>
      <c r="F26" s="52">
        <v>4.5999999999999996</v>
      </c>
      <c r="G26" s="52">
        <v>4.3</v>
      </c>
      <c r="H26" s="52">
        <v>12.4</v>
      </c>
      <c r="I26" s="52">
        <v>106.7</v>
      </c>
      <c r="J26" s="53" t="s">
        <v>191</v>
      </c>
      <c r="K26" s="145">
        <v>3.22</v>
      </c>
      <c r="L26" s="145"/>
      <c r="M26" s="87">
        <v>0</v>
      </c>
      <c r="N26" s="87">
        <v>0.2</v>
      </c>
      <c r="O26" s="87">
        <v>15.6</v>
      </c>
      <c r="P26" s="87">
        <v>0.2</v>
      </c>
      <c r="Q26" s="87">
        <v>1</v>
      </c>
      <c r="R26" s="87">
        <v>66</v>
      </c>
      <c r="S26" s="87">
        <v>265</v>
      </c>
      <c r="T26" s="87">
        <v>34</v>
      </c>
      <c r="U26" s="87">
        <v>34</v>
      </c>
      <c r="V26" s="87">
        <v>131</v>
      </c>
      <c r="W26" s="87">
        <v>1</v>
      </c>
      <c r="X26" s="87">
        <v>11.7</v>
      </c>
      <c r="Y26" s="87">
        <v>2.2999999999999998</v>
      </c>
    </row>
    <row r="27" spans="1:25" s="50" customFormat="1" ht="22.05" customHeight="1" x14ac:dyDescent="0.3">
      <c r="A27" s="49"/>
      <c r="B27" s="302"/>
      <c r="C27" s="273" t="s">
        <v>44</v>
      </c>
      <c r="D27" s="274"/>
      <c r="E27" s="54">
        <v>200</v>
      </c>
      <c r="F27" s="55">
        <v>0.41</v>
      </c>
      <c r="G27" s="55">
        <v>0</v>
      </c>
      <c r="H27" s="55">
        <v>22.59</v>
      </c>
      <c r="I27" s="55">
        <v>92</v>
      </c>
      <c r="J27" s="56" t="s">
        <v>63</v>
      </c>
      <c r="K27" s="146">
        <v>36</v>
      </c>
      <c r="L27" s="146"/>
      <c r="M27" s="129">
        <v>0.02</v>
      </c>
      <c r="N27" s="129">
        <v>0.02</v>
      </c>
      <c r="O27" s="129">
        <v>0</v>
      </c>
      <c r="P27" s="129">
        <v>0.04</v>
      </c>
      <c r="Q27" s="129">
        <v>4</v>
      </c>
      <c r="R27" s="129">
        <v>12</v>
      </c>
      <c r="S27" s="129">
        <v>240</v>
      </c>
      <c r="T27" s="129">
        <v>14</v>
      </c>
      <c r="U27" s="129">
        <v>8</v>
      </c>
      <c r="V27" s="129">
        <v>14</v>
      </c>
      <c r="W27" s="129">
        <v>2.8</v>
      </c>
      <c r="X27" s="129">
        <v>2</v>
      </c>
      <c r="Y27" s="129">
        <v>0</v>
      </c>
    </row>
    <row r="28" spans="1:25" s="48" customFormat="1" ht="22.05" customHeight="1" x14ac:dyDescent="0.3">
      <c r="A28" s="20"/>
      <c r="B28" s="43"/>
      <c r="C28" s="297" t="s">
        <v>108</v>
      </c>
      <c r="D28" s="297"/>
      <c r="E28" s="45">
        <f>SUM(E22:E27)</f>
        <v>748</v>
      </c>
      <c r="F28" s="58">
        <f>SUM(F22:F27)</f>
        <v>20.065999999999999</v>
      </c>
      <c r="G28" s="58">
        <f>SUM(G22:G27)</f>
        <v>14.256</v>
      </c>
      <c r="H28" s="58">
        <f>SUM(H22:H27)</f>
        <v>412.51399999999995</v>
      </c>
      <c r="I28" s="58">
        <f>SUM(I22:I27)</f>
        <v>653.12</v>
      </c>
      <c r="J28" s="57"/>
      <c r="K28" s="58">
        <f>SUM(K22:K27)</f>
        <v>67.2</v>
      </c>
      <c r="L28" s="145"/>
      <c r="M28" s="109">
        <f t="shared" ref="M28:Y28" si="4">SUM(M22:M27)</f>
        <v>0.43300000000000005</v>
      </c>
      <c r="N28" s="109">
        <f t="shared" si="4"/>
        <v>0.53200000000000003</v>
      </c>
      <c r="O28" s="109">
        <f t="shared" si="4"/>
        <v>168.6</v>
      </c>
      <c r="P28" s="109">
        <f t="shared" si="4"/>
        <v>4.5740000000000007</v>
      </c>
      <c r="Q28" s="109">
        <f t="shared" si="4"/>
        <v>25.191999999999997</v>
      </c>
      <c r="R28" s="109">
        <f t="shared" si="4"/>
        <v>921.04</v>
      </c>
      <c r="S28" s="109">
        <f t="shared" si="4"/>
        <v>837.44</v>
      </c>
      <c r="T28" s="109">
        <f t="shared" si="4"/>
        <v>306.29599999999999</v>
      </c>
      <c r="U28" s="109">
        <f t="shared" si="4"/>
        <v>102.6</v>
      </c>
      <c r="V28" s="109">
        <f t="shared" si="4"/>
        <v>393.6</v>
      </c>
      <c r="W28" s="109">
        <f t="shared" si="4"/>
        <v>8.0309999999999988</v>
      </c>
      <c r="X28" s="109">
        <f t="shared" si="4"/>
        <v>42</v>
      </c>
      <c r="Y28" s="109">
        <f t="shared" si="4"/>
        <v>22.471999999999998</v>
      </c>
    </row>
    <row r="29" spans="1:25" s="50" customFormat="1" ht="22.05" customHeight="1" x14ac:dyDescent="0.3">
      <c r="A29" s="14"/>
      <c r="B29" s="36"/>
      <c r="C29" s="92"/>
      <c r="D29" s="92"/>
      <c r="E29" s="14"/>
      <c r="F29" s="37"/>
      <c r="G29" s="37"/>
      <c r="H29" s="37"/>
      <c r="I29" s="37"/>
      <c r="J29" s="14"/>
      <c r="K29" s="65"/>
      <c r="L29" s="65"/>
    </row>
    <row r="30" spans="1:25" s="50" customFormat="1" ht="22.05" customHeight="1" x14ac:dyDescent="0.3">
      <c r="A30" s="14"/>
      <c r="B30" s="36"/>
      <c r="C30" s="272"/>
      <c r="D30" s="272"/>
      <c r="E30" s="37"/>
      <c r="F30" s="37"/>
      <c r="G30" s="37"/>
      <c r="H30" s="37"/>
      <c r="I30" s="37"/>
      <c r="J30" s="14"/>
      <c r="K30" s="65"/>
      <c r="L30" s="65"/>
    </row>
    <row r="31" spans="1:25" s="48" customFormat="1" ht="22.05" customHeight="1" x14ac:dyDescent="0.3">
      <c r="A31" s="20"/>
      <c r="B31" s="252" t="s">
        <v>62</v>
      </c>
      <c r="C31" s="252"/>
      <c r="D31" s="252"/>
      <c r="E31" s="252"/>
      <c r="F31" s="252"/>
      <c r="G31" s="252"/>
      <c r="H31" s="252"/>
      <c r="I31" s="252"/>
      <c r="J31" s="252"/>
      <c r="K31" s="252"/>
      <c r="L31" s="159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</row>
    <row r="32" spans="1:25" s="48" customFormat="1" ht="22.05" customHeight="1" x14ac:dyDescent="0.3">
      <c r="A32" s="20"/>
      <c r="B32" s="253" t="s">
        <v>73</v>
      </c>
      <c r="C32" s="259" t="s">
        <v>1</v>
      </c>
      <c r="D32" s="260"/>
      <c r="E32" s="253" t="s">
        <v>74</v>
      </c>
      <c r="F32" s="255" t="s">
        <v>3</v>
      </c>
      <c r="G32" s="256"/>
      <c r="H32" s="256"/>
      <c r="I32" s="253" t="s">
        <v>145</v>
      </c>
      <c r="J32" s="255" t="s">
        <v>75</v>
      </c>
      <c r="K32" s="257" t="s">
        <v>185</v>
      </c>
      <c r="L32" s="155"/>
      <c r="M32" s="237" t="s">
        <v>159</v>
      </c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</row>
    <row r="33" spans="1:25" s="48" customFormat="1" ht="37.799999999999997" customHeight="1" x14ac:dyDescent="0.3">
      <c r="A33" s="20"/>
      <c r="B33" s="254"/>
      <c r="C33" s="261"/>
      <c r="D33" s="262"/>
      <c r="E33" s="254"/>
      <c r="F33" s="89" t="s">
        <v>142</v>
      </c>
      <c r="G33" s="89" t="s">
        <v>143</v>
      </c>
      <c r="H33" s="89" t="s">
        <v>144</v>
      </c>
      <c r="I33" s="254"/>
      <c r="J33" s="255"/>
      <c r="K33" s="258"/>
      <c r="L33" s="156"/>
      <c r="M33" s="238" t="s">
        <v>76</v>
      </c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</row>
    <row r="34" spans="1:25" s="50" customFormat="1" ht="22.05" customHeight="1" x14ac:dyDescent="0.3">
      <c r="A34" s="14"/>
      <c r="B34" s="245" t="s">
        <v>76</v>
      </c>
      <c r="C34" s="246"/>
      <c r="D34" s="246"/>
      <c r="E34" s="246"/>
      <c r="F34" s="246"/>
      <c r="G34" s="246"/>
      <c r="H34" s="246"/>
      <c r="I34" s="246"/>
      <c r="J34" s="246"/>
      <c r="K34" s="247"/>
      <c r="L34" s="153"/>
      <c r="M34" s="88" t="s">
        <v>146</v>
      </c>
      <c r="N34" s="88" t="s">
        <v>147</v>
      </c>
      <c r="O34" s="88" t="s">
        <v>148</v>
      </c>
      <c r="P34" s="88" t="s">
        <v>150</v>
      </c>
      <c r="Q34" s="88" t="s">
        <v>149</v>
      </c>
      <c r="R34" s="88" t="s">
        <v>151</v>
      </c>
      <c r="S34" s="88" t="s">
        <v>152</v>
      </c>
      <c r="T34" s="88" t="s">
        <v>153</v>
      </c>
      <c r="U34" s="88" t="s">
        <v>154</v>
      </c>
      <c r="V34" s="88" t="s">
        <v>155</v>
      </c>
      <c r="W34" s="88" t="s">
        <v>156</v>
      </c>
      <c r="X34" s="88" t="s">
        <v>157</v>
      </c>
      <c r="Y34" s="88" t="s">
        <v>158</v>
      </c>
    </row>
    <row r="35" spans="1:25" s="20" customFormat="1" ht="22.05" customHeight="1" x14ac:dyDescent="0.3">
      <c r="B35" s="268"/>
      <c r="C35" s="248" t="s">
        <v>204</v>
      </c>
      <c r="D35" s="249"/>
      <c r="E35" s="51">
        <v>60</v>
      </c>
      <c r="F35" s="52">
        <v>1.8</v>
      </c>
      <c r="G35" s="52">
        <v>0.2</v>
      </c>
      <c r="H35" s="52">
        <v>3.6</v>
      </c>
      <c r="I35" s="52">
        <v>22.2</v>
      </c>
      <c r="J35" s="134" t="s">
        <v>205</v>
      </c>
      <c r="K35" s="145">
        <v>27.88</v>
      </c>
      <c r="L35" s="145"/>
      <c r="M35" s="130">
        <v>0.04</v>
      </c>
      <c r="N35" s="130">
        <v>7.0000000000000007E-2</v>
      </c>
      <c r="O35" s="130">
        <v>1.8</v>
      </c>
      <c r="P35" s="130">
        <v>1</v>
      </c>
      <c r="Q35" s="130">
        <v>2.8</v>
      </c>
      <c r="R35" s="130">
        <v>439.2</v>
      </c>
      <c r="S35" s="130">
        <v>162.69999999999999</v>
      </c>
      <c r="T35" s="130">
        <v>53.3</v>
      </c>
      <c r="U35" s="130">
        <v>16.2</v>
      </c>
      <c r="V35" s="130">
        <v>51.5</v>
      </c>
      <c r="W35" s="130">
        <v>0.5</v>
      </c>
      <c r="X35" s="130">
        <v>0</v>
      </c>
      <c r="Y35" s="130">
        <v>0.7</v>
      </c>
    </row>
    <row r="36" spans="1:25" s="48" customFormat="1" ht="22.05" customHeight="1" x14ac:dyDescent="0.3">
      <c r="A36" s="20"/>
      <c r="B36" s="268"/>
      <c r="C36" s="248" t="s">
        <v>10</v>
      </c>
      <c r="D36" s="249"/>
      <c r="E36" s="51">
        <v>230</v>
      </c>
      <c r="F36" s="52">
        <v>10.7</v>
      </c>
      <c r="G36" s="52">
        <v>8.6</v>
      </c>
      <c r="H36" s="52">
        <v>56.4</v>
      </c>
      <c r="I36" s="52">
        <v>345.5</v>
      </c>
      <c r="J36" s="134" t="s">
        <v>65</v>
      </c>
      <c r="K36" s="145">
        <v>14.27</v>
      </c>
      <c r="L36" s="145"/>
      <c r="M36" s="87">
        <v>0.3</v>
      </c>
      <c r="N36" s="87">
        <v>0.2</v>
      </c>
      <c r="O36" s="87">
        <v>42.2</v>
      </c>
      <c r="P36" s="87">
        <v>6.1</v>
      </c>
      <c r="Q36" s="87">
        <v>0</v>
      </c>
      <c r="R36" s="87">
        <v>228.5</v>
      </c>
      <c r="S36" s="87">
        <v>335.8</v>
      </c>
      <c r="T36" s="87">
        <v>21.5</v>
      </c>
      <c r="U36" s="87">
        <v>184</v>
      </c>
      <c r="V36" s="87">
        <v>276</v>
      </c>
      <c r="W36" s="87">
        <v>6.1</v>
      </c>
      <c r="X36" s="87">
        <v>34.200000000000003</v>
      </c>
      <c r="Y36" s="87">
        <v>5.4</v>
      </c>
    </row>
    <row r="37" spans="1:25" s="48" customFormat="1" ht="22.05" customHeight="1" x14ac:dyDescent="0.3">
      <c r="A37" s="20"/>
      <c r="B37" s="268"/>
      <c r="C37" s="248" t="s">
        <v>161</v>
      </c>
      <c r="D37" s="249"/>
      <c r="E37" s="51">
        <v>120</v>
      </c>
      <c r="F37" s="52">
        <v>16.899999999999999</v>
      </c>
      <c r="G37" s="52">
        <v>7.6</v>
      </c>
      <c r="H37" s="52">
        <v>5.3</v>
      </c>
      <c r="I37" s="52">
        <v>157.69</v>
      </c>
      <c r="J37" s="134" t="s">
        <v>168</v>
      </c>
      <c r="K37" s="145">
        <v>40.92</v>
      </c>
      <c r="L37" s="145"/>
      <c r="M37" s="87">
        <v>0.05</v>
      </c>
      <c r="N37" s="87">
        <v>0.06</v>
      </c>
      <c r="O37" s="87">
        <v>349.2</v>
      </c>
      <c r="P37" s="87">
        <v>4.75</v>
      </c>
      <c r="Q37" s="87">
        <v>1.6</v>
      </c>
      <c r="R37" s="87">
        <v>297.60000000000002</v>
      </c>
      <c r="S37" s="87">
        <v>249.6</v>
      </c>
      <c r="T37" s="87">
        <v>26.4</v>
      </c>
      <c r="U37" s="87">
        <v>64.8</v>
      </c>
      <c r="V37" s="87">
        <v>134.4</v>
      </c>
      <c r="W37" s="87">
        <v>1.2</v>
      </c>
      <c r="X37" s="87">
        <v>42</v>
      </c>
      <c r="Y37" s="87">
        <v>14.4</v>
      </c>
    </row>
    <row r="38" spans="1:25" s="48" customFormat="1" ht="22.05" customHeight="1" x14ac:dyDescent="0.3">
      <c r="A38" s="20"/>
      <c r="B38" s="268"/>
      <c r="C38" s="248" t="s">
        <v>114</v>
      </c>
      <c r="D38" s="249"/>
      <c r="E38" s="51">
        <v>50</v>
      </c>
      <c r="F38" s="52">
        <f>F16/100*50</f>
        <v>3.8</v>
      </c>
      <c r="G38" s="52">
        <f t="shared" ref="G38:I38" si="5">G16/100*50</f>
        <v>0.45000000000000007</v>
      </c>
      <c r="H38" s="52">
        <f t="shared" si="5"/>
        <v>24.85</v>
      </c>
      <c r="I38" s="52">
        <f t="shared" si="5"/>
        <v>112.99999999999999</v>
      </c>
      <c r="J38" s="135" t="s">
        <v>63</v>
      </c>
      <c r="K38" s="145">
        <v>3.64</v>
      </c>
      <c r="L38" s="145"/>
      <c r="M38" s="87">
        <f>M16/40*50</f>
        <v>0.20500000000000002</v>
      </c>
      <c r="N38" s="87">
        <f t="shared" ref="N38:Y38" si="6">N16/40*50</f>
        <v>0.12625000000000003</v>
      </c>
      <c r="O38" s="87">
        <f t="shared" si="6"/>
        <v>0</v>
      </c>
      <c r="P38" s="87">
        <f t="shared" si="6"/>
        <v>2.8000000000000003</v>
      </c>
      <c r="Q38" s="87">
        <f t="shared" si="6"/>
        <v>0.1</v>
      </c>
      <c r="R38" s="87">
        <f t="shared" si="6"/>
        <v>236.49999999999997</v>
      </c>
      <c r="S38" s="87">
        <f t="shared" si="6"/>
        <v>62.5</v>
      </c>
      <c r="T38" s="87">
        <f t="shared" si="6"/>
        <v>2.4500000000000002</v>
      </c>
      <c r="U38" s="87">
        <f t="shared" si="6"/>
        <v>20.5</v>
      </c>
      <c r="V38" s="87">
        <f t="shared" si="6"/>
        <v>64.5</v>
      </c>
      <c r="W38" s="87">
        <f t="shared" si="6"/>
        <v>1.7999999999999998</v>
      </c>
      <c r="X38" s="87">
        <f t="shared" si="6"/>
        <v>0</v>
      </c>
      <c r="Y38" s="87">
        <f t="shared" si="6"/>
        <v>14.399999999999999</v>
      </c>
    </row>
    <row r="39" spans="1:25" s="48" customFormat="1" ht="22.05" customHeight="1" x14ac:dyDescent="0.3">
      <c r="A39" s="20"/>
      <c r="B39" s="268"/>
      <c r="C39" s="248" t="s">
        <v>111</v>
      </c>
      <c r="D39" s="249"/>
      <c r="E39" s="51">
        <v>29</v>
      </c>
      <c r="F39" s="52">
        <f>F17/100*29</f>
        <v>1.363</v>
      </c>
      <c r="G39" s="52">
        <f t="shared" ref="G39:I39" si="7">G17/100*29</f>
        <v>0.20299999999999999</v>
      </c>
      <c r="H39" s="52">
        <f t="shared" si="7"/>
        <v>14.442</v>
      </c>
      <c r="I39" s="52">
        <f t="shared" si="7"/>
        <v>62.06</v>
      </c>
      <c r="J39" s="135" t="s">
        <v>63</v>
      </c>
      <c r="K39" s="145">
        <v>3.64</v>
      </c>
      <c r="L39" s="145"/>
      <c r="M39" s="87">
        <f>M17/40*29</f>
        <v>0.12325000000000001</v>
      </c>
      <c r="N39" s="87">
        <f t="shared" ref="N39:Y39" si="8">N17/40*29</f>
        <v>9.4250000000000014E-2</v>
      </c>
      <c r="O39" s="87">
        <f t="shared" si="8"/>
        <v>0</v>
      </c>
      <c r="P39" s="87">
        <f t="shared" si="8"/>
        <v>1.1019999999999999</v>
      </c>
      <c r="Q39" s="87">
        <f t="shared" si="8"/>
        <v>0.11600000000000001</v>
      </c>
      <c r="R39" s="87">
        <f t="shared" si="8"/>
        <v>174.86999999999998</v>
      </c>
      <c r="S39" s="87">
        <f t="shared" si="8"/>
        <v>21.169999999999998</v>
      </c>
      <c r="T39" s="87">
        <f t="shared" si="8"/>
        <v>0.34800000000000003</v>
      </c>
      <c r="U39" s="87">
        <f t="shared" si="8"/>
        <v>11.600000000000001</v>
      </c>
      <c r="V39" s="87">
        <f t="shared" si="8"/>
        <v>36.25</v>
      </c>
      <c r="W39" s="87">
        <f t="shared" si="8"/>
        <v>0.81924999999999992</v>
      </c>
      <c r="X39" s="87">
        <f t="shared" si="8"/>
        <v>0</v>
      </c>
      <c r="Y39" s="87">
        <f t="shared" si="8"/>
        <v>8.9610000000000003</v>
      </c>
    </row>
    <row r="40" spans="1:25" s="48" customFormat="1" ht="22.05" customHeight="1" x14ac:dyDescent="0.3">
      <c r="A40" s="20"/>
      <c r="B40" s="269"/>
      <c r="C40" s="248" t="s">
        <v>162</v>
      </c>
      <c r="D40" s="249"/>
      <c r="E40" s="51">
        <v>200</v>
      </c>
      <c r="F40" s="52">
        <v>0.2</v>
      </c>
      <c r="G40" s="52">
        <v>0.1</v>
      </c>
      <c r="H40" s="52">
        <v>12.5</v>
      </c>
      <c r="I40" s="52">
        <v>51.5</v>
      </c>
      <c r="J40" s="134" t="s">
        <v>163</v>
      </c>
      <c r="K40" s="145">
        <v>18.21</v>
      </c>
      <c r="L40" s="145"/>
      <c r="M40" s="87">
        <v>0.02</v>
      </c>
      <c r="N40" s="87">
        <v>0</v>
      </c>
      <c r="O40" s="87">
        <v>0.2</v>
      </c>
      <c r="P40" s="87">
        <v>0.1</v>
      </c>
      <c r="Q40" s="87">
        <v>1</v>
      </c>
      <c r="R40" s="87">
        <v>2</v>
      </c>
      <c r="S40" s="87">
        <v>23</v>
      </c>
      <c r="T40" s="87">
        <v>7</v>
      </c>
      <c r="U40" s="87">
        <v>1</v>
      </c>
      <c r="V40" s="87">
        <v>7</v>
      </c>
      <c r="W40" s="87">
        <v>0</v>
      </c>
      <c r="X40" s="87">
        <v>0</v>
      </c>
      <c r="Y40" s="87">
        <v>0</v>
      </c>
    </row>
    <row r="41" spans="1:25" s="48" customFormat="1" ht="22.05" customHeight="1" x14ac:dyDescent="0.3">
      <c r="A41" s="20"/>
      <c r="B41" s="43"/>
      <c r="C41" s="263" t="s">
        <v>108</v>
      </c>
      <c r="D41" s="264"/>
      <c r="E41" s="45">
        <f>SUM(E35:E40)</f>
        <v>689</v>
      </c>
      <c r="F41" s="58">
        <f>SUM(F35:F40)</f>
        <v>34.762999999999998</v>
      </c>
      <c r="G41" s="58">
        <f>SUM(G35:G40)</f>
        <v>17.152999999999999</v>
      </c>
      <c r="H41" s="58">
        <f>SUM(H35:H40)</f>
        <v>117.09200000000001</v>
      </c>
      <c r="I41" s="58">
        <f>SUM(I35:I40)</f>
        <v>751.95</v>
      </c>
      <c r="J41" s="136"/>
      <c r="K41" s="58">
        <f>SUM(K35:K40)</f>
        <v>108.56</v>
      </c>
      <c r="L41" s="145"/>
      <c r="M41" s="109">
        <f t="shared" ref="M41:Y41" si="9">SUM(M35:M40)</f>
        <v>0.73824999999999996</v>
      </c>
      <c r="N41" s="109">
        <f t="shared" si="9"/>
        <v>0.5505000000000001</v>
      </c>
      <c r="O41" s="109">
        <f t="shared" si="9"/>
        <v>393.4</v>
      </c>
      <c r="P41" s="109">
        <f t="shared" si="9"/>
        <v>15.852</v>
      </c>
      <c r="Q41" s="109">
        <f t="shared" si="9"/>
        <v>5.6159999999999997</v>
      </c>
      <c r="R41" s="109">
        <f t="shared" si="9"/>
        <v>1378.6699999999998</v>
      </c>
      <c r="S41" s="109">
        <f t="shared" si="9"/>
        <v>854.77</v>
      </c>
      <c r="T41" s="109">
        <f t="shared" si="9"/>
        <v>110.99799999999999</v>
      </c>
      <c r="U41" s="109">
        <f t="shared" si="9"/>
        <v>298.10000000000002</v>
      </c>
      <c r="V41" s="109">
        <f t="shared" si="9"/>
        <v>569.65</v>
      </c>
      <c r="W41" s="109">
        <f t="shared" si="9"/>
        <v>10.41925</v>
      </c>
      <c r="X41" s="109">
        <f t="shared" si="9"/>
        <v>76.2</v>
      </c>
      <c r="Y41" s="109">
        <f t="shared" si="9"/>
        <v>43.860999999999997</v>
      </c>
    </row>
    <row r="42" spans="1:25" s="120" customFormat="1" ht="22.05" customHeight="1" x14ac:dyDescent="0.3">
      <c r="A42" s="20"/>
      <c r="B42" s="39"/>
      <c r="C42" s="40"/>
      <c r="D42" s="40"/>
      <c r="E42" s="197"/>
      <c r="F42" s="97"/>
      <c r="G42" s="97"/>
      <c r="H42" s="97"/>
      <c r="I42" s="97"/>
      <c r="J42" s="67"/>
      <c r="K42" s="97"/>
      <c r="L42" s="97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</row>
    <row r="43" spans="1:25" s="50" customFormat="1" ht="22.05" customHeight="1" x14ac:dyDescent="0.3">
      <c r="A43" s="14"/>
      <c r="B43" s="36"/>
      <c r="C43" s="92"/>
      <c r="D43" s="92"/>
      <c r="E43" s="14"/>
      <c r="F43" s="37"/>
      <c r="G43" s="37"/>
      <c r="H43" s="37"/>
      <c r="I43" s="37"/>
      <c r="J43" s="14"/>
      <c r="K43" s="65"/>
      <c r="L43" s="65"/>
    </row>
    <row r="44" spans="1:25" s="48" customFormat="1" ht="22.05" customHeight="1" x14ac:dyDescent="0.3">
      <c r="A44" s="20"/>
      <c r="B44" s="252" t="s">
        <v>62</v>
      </c>
      <c r="C44" s="252"/>
      <c r="D44" s="252"/>
      <c r="E44" s="252"/>
      <c r="F44" s="252"/>
      <c r="G44" s="252"/>
      <c r="H44" s="252"/>
      <c r="I44" s="252"/>
      <c r="J44" s="252"/>
      <c r="K44" s="252"/>
      <c r="L44" s="159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</row>
    <row r="45" spans="1:25" s="48" customFormat="1" ht="22.05" customHeight="1" x14ac:dyDescent="0.3">
      <c r="A45" s="20"/>
      <c r="B45" s="303" t="s">
        <v>73</v>
      </c>
      <c r="C45" s="252" t="s">
        <v>1</v>
      </c>
      <c r="D45" s="252"/>
      <c r="E45" s="303" t="s">
        <v>74</v>
      </c>
      <c r="F45" s="252" t="s">
        <v>3</v>
      </c>
      <c r="G45" s="252"/>
      <c r="H45" s="252"/>
      <c r="I45" s="303" t="s">
        <v>145</v>
      </c>
      <c r="J45" s="252" t="s">
        <v>75</v>
      </c>
      <c r="K45" s="252" t="s">
        <v>185</v>
      </c>
      <c r="L45" s="155"/>
      <c r="M45" s="237" t="s">
        <v>159</v>
      </c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</row>
    <row r="46" spans="1:25" s="48" customFormat="1" ht="43.8" customHeight="1" x14ac:dyDescent="0.3">
      <c r="A46" s="20"/>
      <c r="B46" s="303"/>
      <c r="C46" s="252"/>
      <c r="D46" s="252"/>
      <c r="E46" s="303"/>
      <c r="F46" s="160" t="s">
        <v>142</v>
      </c>
      <c r="G46" s="160" t="s">
        <v>143</v>
      </c>
      <c r="H46" s="160" t="s">
        <v>144</v>
      </c>
      <c r="I46" s="303"/>
      <c r="J46" s="252"/>
      <c r="K46" s="252"/>
      <c r="L46" s="156"/>
      <c r="M46" s="238" t="s">
        <v>89</v>
      </c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</row>
    <row r="47" spans="1:25" s="48" customFormat="1" ht="22.05" customHeight="1" x14ac:dyDescent="0.3">
      <c r="A47" s="20"/>
      <c r="B47" s="301" t="s">
        <v>89</v>
      </c>
      <c r="C47" s="301"/>
      <c r="D47" s="301"/>
      <c r="E47" s="301"/>
      <c r="F47" s="301"/>
      <c r="G47" s="301"/>
      <c r="H47" s="301"/>
      <c r="I47" s="301"/>
      <c r="J47" s="301"/>
      <c r="K47" s="301"/>
      <c r="L47" s="153"/>
      <c r="M47" s="86" t="s">
        <v>146</v>
      </c>
      <c r="N47" s="86" t="s">
        <v>147</v>
      </c>
      <c r="O47" s="86" t="s">
        <v>148</v>
      </c>
      <c r="P47" s="86" t="s">
        <v>150</v>
      </c>
      <c r="Q47" s="86" t="s">
        <v>149</v>
      </c>
      <c r="R47" s="86" t="s">
        <v>151</v>
      </c>
      <c r="S47" s="86" t="s">
        <v>152</v>
      </c>
      <c r="T47" s="86" t="s">
        <v>153</v>
      </c>
      <c r="U47" s="86" t="s">
        <v>154</v>
      </c>
      <c r="V47" s="86" t="s">
        <v>155</v>
      </c>
      <c r="W47" s="86" t="s">
        <v>156</v>
      </c>
      <c r="X47" s="86" t="s">
        <v>157</v>
      </c>
      <c r="Y47" s="86" t="s">
        <v>158</v>
      </c>
    </row>
    <row r="48" spans="1:25" s="120" customFormat="1" ht="22.05" customHeight="1" x14ac:dyDescent="0.3">
      <c r="A48" s="20"/>
      <c r="B48" s="302"/>
      <c r="C48" s="293" t="s">
        <v>206</v>
      </c>
      <c r="D48" s="294"/>
      <c r="E48" s="51">
        <v>80</v>
      </c>
      <c r="F48" s="52">
        <v>0.39</v>
      </c>
      <c r="G48" s="52">
        <v>3.08</v>
      </c>
      <c r="H48" s="52">
        <v>2.23</v>
      </c>
      <c r="I48" s="52">
        <v>37.869999999999997</v>
      </c>
      <c r="J48" s="134" t="s">
        <v>207</v>
      </c>
      <c r="K48" s="145">
        <v>20.61</v>
      </c>
      <c r="L48" s="145"/>
      <c r="M48" s="119">
        <v>0.05</v>
      </c>
      <c r="N48" s="119">
        <v>0.05</v>
      </c>
      <c r="O48" s="119">
        <v>114.49</v>
      </c>
      <c r="P48" s="119">
        <v>0.36</v>
      </c>
      <c r="Q48" s="119">
        <v>19.559999999999999</v>
      </c>
      <c r="R48" s="119">
        <v>165.33</v>
      </c>
      <c r="S48" s="119">
        <v>236.44</v>
      </c>
      <c r="T48" s="119">
        <v>33.770000000000003</v>
      </c>
      <c r="U48" s="119">
        <v>17.77</v>
      </c>
      <c r="V48" s="119">
        <v>32</v>
      </c>
      <c r="W48" s="119">
        <v>0</v>
      </c>
      <c r="X48" s="119">
        <v>16.53</v>
      </c>
      <c r="Y48" s="119">
        <v>0.36</v>
      </c>
    </row>
    <row r="49" spans="1:25" s="48" customFormat="1" ht="22.05" customHeight="1" x14ac:dyDescent="0.3">
      <c r="A49" s="20"/>
      <c r="B49" s="302"/>
      <c r="C49" s="291" t="s">
        <v>30</v>
      </c>
      <c r="D49" s="291"/>
      <c r="E49" s="51">
        <v>200</v>
      </c>
      <c r="F49" s="52">
        <v>4.8</v>
      </c>
      <c r="G49" s="52">
        <v>7</v>
      </c>
      <c r="H49" s="52">
        <v>50.7</v>
      </c>
      <c r="I49" s="52">
        <v>284.7</v>
      </c>
      <c r="J49" s="53" t="s">
        <v>29</v>
      </c>
      <c r="K49" s="145">
        <v>15.4</v>
      </c>
      <c r="L49" s="145"/>
      <c r="M49" s="87">
        <v>0.04</v>
      </c>
      <c r="N49" s="87">
        <v>0.02</v>
      </c>
      <c r="O49" s="87">
        <v>27</v>
      </c>
      <c r="P49" s="87">
        <v>0.9</v>
      </c>
      <c r="Q49" s="87">
        <v>0</v>
      </c>
      <c r="R49" s="87">
        <v>275</v>
      </c>
      <c r="S49" s="87">
        <v>41</v>
      </c>
      <c r="T49" s="87">
        <v>20</v>
      </c>
      <c r="U49" s="87">
        <v>14</v>
      </c>
      <c r="V49" s="87">
        <v>62</v>
      </c>
      <c r="W49" s="87">
        <v>1</v>
      </c>
      <c r="X49" s="87">
        <v>26.7</v>
      </c>
      <c r="Y49" s="87">
        <v>9.6999999999999993</v>
      </c>
    </row>
    <row r="50" spans="1:25" s="48" customFormat="1" ht="22.05" customHeight="1" x14ac:dyDescent="0.3">
      <c r="A50" s="20"/>
      <c r="B50" s="302"/>
      <c r="C50" s="280" t="s">
        <v>165</v>
      </c>
      <c r="D50" s="280"/>
      <c r="E50" s="51">
        <v>100</v>
      </c>
      <c r="F50" s="52">
        <v>11.6</v>
      </c>
      <c r="G50" s="52">
        <v>6.1</v>
      </c>
      <c r="H50" s="52">
        <v>5.3</v>
      </c>
      <c r="I50" s="52">
        <v>122.3</v>
      </c>
      <c r="J50" s="53" t="s">
        <v>54</v>
      </c>
      <c r="K50" s="145">
        <v>42.96</v>
      </c>
      <c r="L50" s="145"/>
      <c r="M50" s="87">
        <v>7.0000000000000007E-2</v>
      </c>
      <c r="N50" s="87">
        <v>0.11</v>
      </c>
      <c r="O50" s="87">
        <v>60</v>
      </c>
      <c r="P50" s="87">
        <v>1</v>
      </c>
      <c r="Q50" s="87">
        <v>1.4</v>
      </c>
      <c r="R50" s="87">
        <v>130</v>
      </c>
      <c r="S50" s="87">
        <v>457.1</v>
      </c>
      <c r="T50" s="87">
        <v>21.4</v>
      </c>
      <c r="U50" s="87">
        <v>54.3</v>
      </c>
      <c r="V50" s="87">
        <v>27.1</v>
      </c>
      <c r="W50" s="87">
        <v>0</v>
      </c>
      <c r="X50" s="87">
        <v>143.6</v>
      </c>
      <c r="Y50" s="87">
        <v>12.1</v>
      </c>
    </row>
    <row r="51" spans="1:25" s="48" customFormat="1" ht="22.05" customHeight="1" x14ac:dyDescent="0.3">
      <c r="A51" s="20"/>
      <c r="B51" s="302"/>
      <c r="C51" s="280" t="s">
        <v>110</v>
      </c>
      <c r="D51" s="280"/>
      <c r="E51" s="51">
        <v>46</v>
      </c>
      <c r="F51" s="52">
        <f>F16/100*46</f>
        <v>3.496</v>
      </c>
      <c r="G51" s="52">
        <f>G16/100*46</f>
        <v>0.41400000000000003</v>
      </c>
      <c r="H51" s="52">
        <f>H16/100*46</f>
        <v>22.862000000000002</v>
      </c>
      <c r="I51" s="52">
        <f>I16/100*46</f>
        <v>103.96</v>
      </c>
      <c r="J51" s="51" t="s">
        <v>63</v>
      </c>
      <c r="K51" s="145">
        <v>4.7300000000000004</v>
      </c>
      <c r="L51" s="145"/>
      <c r="M51" s="87">
        <f t="shared" ref="M51:Y51" si="10">M16/40*46</f>
        <v>0.18860000000000002</v>
      </c>
      <c r="N51" s="87">
        <f t="shared" si="10"/>
        <v>0.11615000000000002</v>
      </c>
      <c r="O51" s="87">
        <f t="shared" si="10"/>
        <v>0</v>
      </c>
      <c r="P51" s="87">
        <f t="shared" si="10"/>
        <v>2.5760000000000005</v>
      </c>
      <c r="Q51" s="87">
        <f t="shared" si="10"/>
        <v>9.1999999999999998E-2</v>
      </c>
      <c r="R51" s="87">
        <f t="shared" si="10"/>
        <v>217.57999999999998</v>
      </c>
      <c r="S51" s="87">
        <f t="shared" si="10"/>
        <v>57.5</v>
      </c>
      <c r="T51" s="87">
        <f t="shared" si="10"/>
        <v>2.254</v>
      </c>
      <c r="U51" s="87">
        <f t="shared" si="10"/>
        <v>18.86</v>
      </c>
      <c r="V51" s="87">
        <f t="shared" si="10"/>
        <v>59.34</v>
      </c>
      <c r="W51" s="87">
        <f t="shared" si="10"/>
        <v>1.6559999999999999</v>
      </c>
      <c r="X51" s="87">
        <f t="shared" si="10"/>
        <v>0</v>
      </c>
      <c r="Y51" s="87">
        <f t="shared" si="10"/>
        <v>13.247999999999999</v>
      </c>
    </row>
    <row r="52" spans="1:25" s="48" customFormat="1" ht="22.05" customHeight="1" x14ac:dyDescent="0.3">
      <c r="A52" s="20"/>
      <c r="B52" s="302"/>
      <c r="C52" s="280" t="s">
        <v>118</v>
      </c>
      <c r="D52" s="280"/>
      <c r="E52" s="51">
        <v>28</v>
      </c>
      <c r="F52" s="52">
        <f>F17/100*28</f>
        <v>1.3160000000000001</v>
      </c>
      <c r="G52" s="52">
        <f>G17/100*28</f>
        <v>0.19599999999999998</v>
      </c>
      <c r="H52" s="52">
        <f>H17/100*28</f>
        <v>13.943999999999999</v>
      </c>
      <c r="I52" s="52">
        <f>I17/100*28</f>
        <v>59.92</v>
      </c>
      <c r="J52" s="51" t="s">
        <v>63</v>
      </c>
      <c r="K52" s="145">
        <v>3.64</v>
      </c>
      <c r="L52" s="145"/>
      <c r="M52" s="87">
        <f t="shared" ref="M52:Y52" si="11">M17/40*28</f>
        <v>0.11900000000000001</v>
      </c>
      <c r="N52" s="87">
        <f t="shared" si="11"/>
        <v>9.1000000000000011E-2</v>
      </c>
      <c r="O52" s="87">
        <f t="shared" si="11"/>
        <v>0</v>
      </c>
      <c r="P52" s="87">
        <f t="shared" si="11"/>
        <v>1.0640000000000001</v>
      </c>
      <c r="Q52" s="87">
        <f t="shared" si="11"/>
        <v>0.112</v>
      </c>
      <c r="R52" s="87">
        <f t="shared" si="11"/>
        <v>168.83999999999997</v>
      </c>
      <c r="S52" s="87">
        <f t="shared" si="11"/>
        <v>20.439999999999998</v>
      </c>
      <c r="T52" s="87">
        <f t="shared" si="11"/>
        <v>0.33600000000000002</v>
      </c>
      <c r="U52" s="87">
        <f t="shared" si="11"/>
        <v>11.200000000000001</v>
      </c>
      <c r="V52" s="87">
        <f t="shared" si="11"/>
        <v>35</v>
      </c>
      <c r="W52" s="87">
        <f t="shared" si="11"/>
        <v>0.79099999999999993</v>
      </c>
      <c r="X52" s="87">
        <f t="shared" si="11"/>
        <v>0</v>
      </c>
      <c r="Y52" s="87">
        <f t="shared" si="11"/>
        <v>8.6519999999999992</v>
      </c>
    </row>
    <row r="53" spans="1:25" s="48" customFormat="1" ht="22.05" customHeight="1" x14ac:dyDescent="0.3">
      <c r="A53" s="20"/>
      <c r="B53" s="302"/>
      <c r="C53" s="248" t="s">
        <v>192</v>
      </c>
      <c r="D53" s="249"/>
      <c r="E53" s="51">
        <v>200</v>
      </c>
      <c r="F53" s="52">
        <v>1.8</v>
      </c>
      <c r="G53" s="52">
        <v>0.1</v>
      </c>
      <c r="H53" s="52">
        <v>23.5</v>
      </c>
      <c r="I53" s="52">
        <v>102.2</v>
      </c>
      <c r="J53" s="134" t="s">
        <v>193</v>
      </c>
      <c r="K53" s="145">
        <v>15.71</v>
      </c>
      <c r="L53" s="145"/>
      <c r="M53" s="87">
        <v>0.03</v>
      </c>
      <c r="N53" s="87">
        <v>0.06</v>
      </c>
      <c r="O53" s="87">
        <v>129</v>
      </c>
      <c r="P53" s="87">
        <v>0.9</v>
      </c>
      <c r="Q53" s="87">
        <v>1</v>
      </c>
      <c r="R53" s="87">
        <v>6</v>
      </c>
      <c r="S53" s="87">
        <v>635</v>
      </c>
      <c r="T53" s="87">
        <v>52</v>
      </c>
      <c r="U53" s="87">
        <v>34</v>
      </c>
      <c r="V53" s="87">
        <v>47</v>
      </c>
      <c r="W53" s="87">
        <v>1</v>
      </c>
      <c r="X53" s="87">
        <v>0</v>
      </c>
      <c r="Y53" s="87">
        <v>0</v>
      </c>
    </row>
    <row r="54" spans="1:25" s="48" customFormat="1" ht="22.05" customHeight="1" x14ac:dyDescent="0.3">
      <c r="A54" s="20"/>
      <c r="B54" s="43"/>
      <c r="C54" s="297" t="s">
        <v>108</v>
      </c>
      <c r="D54" s="297"/>
      <c r="E54" s="45">
        <f>SUM(E48:E53)</f>
        <v>654</v>
      </c>
      <c r="F54" s="58">
        <f>SUM(F48:F53)</f>
        <v>23.401999999999997</v>
      </c>
      <c r="G54" s="58">
        <f>SUM(G48:G53)</f>
        <v>16.890000000000004</v>
      </c>
      <c r="H54" s="58">
        <f>SUM(H48:H53)</f>
        <v>118.536</v>
      </c>
      <c r="I54" s="58">
        <f>SUM(I48:I53)</f>
        <v>710.95</v>
      </c>
      <c r="J54" s="45"/>
      <c r="K54" s="58">
        <f>SUM(K48:K53)</f>
        <v>103.05000000000001</v>
      </c>
      <c r="L54" s="145"/>
      <c r="M54" s="109">
        <f t="shared" ref="M54:Y54" si="12">SUM(M48:M53)</f>
        <v>0.49760000000000004</v>
      </c>
      <c r="N54" s="109">
        <f t="shared" si="12"/>
        <v>0.44715000000000005</v>
      </c>
      <c r="O54" s="109">
        <f t="shared" si="12"/>
        <v>330.49</v>
      </c>
      <c r="P54" s="109">
        <f t="shared" si="12"/>
        <v>6.8000000000000007</v>
      </c>
      <c r="Q54" s="109">
        <f t="shared" si="12"/>
        <v>22.163999999999994</v>
      </c>
      <c r="R54" s="109">
        <f t="shared" si="12"/>
        <v>962.75</v>
      </c>
      <c r="S54" s="109">
        <f t="shared" si="12"/>
        <v>1447.48</v>
      </c>
      <c r="T54" s="109">
        <f t="shared" si="12"/>
        <v>129.76</v>
      </c>
      <c r="U54" s="109">
        <f t="shared" si="12"/>
        <v>150.13</v>
      </c>
      <c r="V54" s="109">
        <f t="shared" si="12"/>
        <v>262.44</v>
      </c>
      <c r="W54" s="109">
        <f t="shared" si="12"/>
        <v>4.4469999999999992</v>
      </c>
      <c r="X54" s="109">
        <f t="shared" si="12"/>
        <v>186.82999999999998</v>
      </c>
      <c r="Y54" s="109">
        <f t="shared" si="12"/>
        <v>44.059999999999995</v>
      </c>
    </row>
    <row r="55" spans="1:25" s="120" customFormat="1" ht="22.05" customHeight="1" x14ac:dyDescent="0.3">
      <c r="A55" s="20"/>
      <c r="B55" s="39"/>
      <c r="C55" s="40"/>
      <c r="D55" s="40"/>
      <c r="E55" s="205"/>
      <c r="F55" s="97"/>
      <c r="G55" s="97"/>
      <c r="H55" s="97"/>
      <c r="I55" s="97"/>
      <c r="J55" s="205"/>
      <c r="K55" s="97"/>
      <c r="L55" s="97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</row>
    <row r="56" spans="1:25" s="50" customFormat="1" ht="22.05" customHeight="1" x14ac:dyDescent="0.3">
      <c r="A56" s="14"/>
      <c r="B56" s="36"/>
      <c r="C56" s="14"/>
      <c r="D56" s="14"/>
      <c r="E56" s="14"/>
      <c r="F56" s="37"/>
      <c r="G56" s="37"/>
      <c r="H56" s="37"/>
      <c r="I56" s="37"/>
      <c r="J56" s="14"/>
      <c r="K56" s="65"/>
      <c r="L56" s="65"/>
    </row>
    <row r="57" spans="1:25" s="48" customFormat="1" ht="22.05" customHeight="1" x14ac:dyDescent="0.3">
      <c r="A57" s="20"/>
      <c r="B57" s="252" t="s">
        <v>62</v>
      </c>
      <c r="C57" s="252"/>
      <c r="D57" s="252"/>
      <c r="E57" s="252"/>
      <c r="F57" s="252"/>
      <c r="G57" s="252"/>
      <c r="H57" s="252"/>
      <c r="I57" s="252"/>
      <c r="J57" s="252"/>
      <c r="K57" s="252"/>
      <c r="L57" s="159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</row>
    <row r="58" spans="1:25" s="48" customFormat="1" ht="22.05" customHeight="1" x14ac:dyDescent="0.3">
      <c r="A58" s="20"/>
      <c r="B58" s="253" t="s">
        <v>73</v>
      </c>
      <c r="C58" s="259" t="s">
        <v>1</v>
      </c>
      <c r="D58" s="260"/>
      <c r="E58" s="253" t="s">
        <v>74</v>
      </c>
      <c r="F58" s="255" t="s">
        <v>3</v>
      </c>
      <c r="G58" s="256"/>
      <c r="H58" s="256"/>
      <c r="I58" s="253" t="s">
        <v>145</v>
      </c>
      <c r="J58" s="255" t="s">
        <v>75</v>
      </c>
      <c r="K58" s="257" t="s">
        <v>185</v>
      </c>
      <c r="L58" s="155"/>
      <c r="M58" s="237" t="s">
        <v>159</v>
      </c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</row>
    <row r="59" spans="1:25" s="48" customFormat="1" ht="44.4" customHeight="1" x14ac:dyDescent="0.3">
      <c r="A59" s="20"/>
      <c r="B59" s="254"/>
      <c r="C59" s="261"/>
      <c r="D59" s="262"/>
      <c r="E59" s="254"/>
      <c r="F59" s="89" t="s">
        <v>142</v>
      </c>
      <c r="G59" s="89" t="s">
        <v>143</v>
      </c>
      <c r="H59" s="89" t="s">
        <v>144</v>
      </c>
      <c r="I59" s="254"/>
      <c r="J59" s="255"/>
      <c r="K59" s="258"/>
      <c r="L59" s="156"/>
      <c r="M59" s="238" t="s">
        <v>77</v>
      </c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</row>
    <row r="60" spans="1:25" s="50" customFormat="1" ht="22.2" customHeight="1" x14ac:dyDescent="0.3">
      <c r="A60" s="14"/>
      <c r="B60" s="245" t="s">
        <v>77</v>
      </c>
      <c r="C60" s="246"/>
      <c r="D60" s="246"/>
      <c r="E60" s="246"/>
      <c r="F60" s="246"/>
      <c r="G60" s="246"/>
      <c r="H60" s="246"/>
      <c r="I60" s="246"/>
      <c r="J60" s="246"/>
      <c r="K60" s="247"/>
      <c r="L60" s="153"/>
      <c r="M60" s="85" t="s">
        <v>146</v>
      </c>
      <c r="N60" s="85" t="s">
        <v>147</v>
      </c>
      <c r="O60" s="85" t="s">
        <v>148</v>
      </c>
      <c r="P60" s="85" t="s">
        <v>150</v>
      </c>
      <c r="Q60" s="85" t="s">
        <v>149</v>
      </c>
      <c r="R60" s="85" t="s">
        <v>151</v>
      </c>
      <c r="S60" s="85" t="s">
        <v>152</v>
      </c>
      <c r="T60" s="85" t="s">
        <v>153</v>
      </c>
      <c r="U60" s="85" t="s">
        <v>154</v>
      </c>
      <c r="V60" s="85" t="s">
        <v>155</v>
      </c>
      <c r="W60" s="85" t="s">
        <v>156</v>
      </c>
      <c r="X60" s="85" t="s">
        <v>157</v>
      </c>
      <c r="Y60" s="85" t="s">
        <v>158</v>
      </c>
    </row>
    <row r="61" spans="1:25" s="120" customFormat="1" ht="22.05" customHeight="1" x14ac:dyDescent="0.3">
      <c r="A61" s="20"/>
      <c r="B61" s="268"/>
      <c r="C61" s="248" t="s">
        <v>208</v>
      </c>
      <c r="D61" s="249"/>
      <c r="E61" s="51">
        <v>100</v>
      </c>
      <c r="F61" s="52">
        <v>1.1100000000000001</v>
      </c>
      <c r="G61" s="52">
        <v>3.34</v>
      </c>
      <c r="H61" s="52">
        <v>7.96</v>
      </c>
      <c r="I61" s="52">
        <v>65.8</v>
      </c>
      <c r="J61" s="134">
        <v>15</v>
      </c>
      <c r="K61" s="145">
        <v>12.83</v>
      </c>
      <c r="L61" s="145"/>
      <c r="M61" s="119">
        <v>0.03</v>
      </c>
      <c r="N61" s="119">
        <v>0.04</v>
      </c>
      <c r="O61" s="119">
        <v>0</v>
      </c>
      <c r="P61" s="119">
        <v>0</v>
      </c>
      <c r="Q61" s="119">
        <v>6.3</v>
      </c>
      <c r="R61" s="119">
        <v>0</v>
      </c>
      <c r="S61" s="119">
        <v>0</v>
      </c>
      <c r="T61" s="119">
        <v>34.520000000000003</v>
      </c>
      <c r="U61" s="119">
        <v>18.260000000000002</v>
      </c>
      <c r="V61" s="119">
        <v>30.16</v>
      </c>
      <c r="W61" s="119">
        <v>0.9</v>
      </c>
      <c r="X61" s="119">
        <v>0</v>
      </c>
      <c r="Y61" s="119">
        <v>0</v>
      </c>
    </row>
    <row r="62" spans="1:25" s="48" customFormat="1" ht="22.05" customHeight="1" x14ac:dyDescent="0.3">
      <c r="A62" s="20"/>
      <c r="B62" s="268"/>
      <c r="C62" s="291" t="s">
        <v>34</v>
      </c>
      <c r="D62" s="291"/>
      <c r="E62" s="51">
        <v>220</v>
      </c>
      <c r="F62" s="52">
        <v>4.0999999999999996</v>
      </c>
      <c r="G62" s="52">
        <v>7.6</v>
      </c>
      <c r="H62" s="52">
        <v>31.5</v>
      </c>
      <c r="I62" s="52">
        <v>210.2</v>
      </c>
      <c r="J62" s="134" t="s">
        <v>33</v>
      </c>
      <c r="K62" s="145">
        <v>22.09</v>
      </c>
      <c r="L62" s="145"/>
      <c r="M62" s="87">
        <v>0.18</v>
      </c>
      <c r="N62" s="87">
        <v>0.1</v>
      </c>
      <c r="O62" s="87">
        <v>34.1</v>
      </c>
      <c r="P62" s="87">
        <v>1.4</v>
      </c>
      <c r="Q62" s="87">
        <v>14.3</v>
      </c>
      <c r="R62" s="87">
        <v>350.9</v>
      </c>
      <c r="S62" s="87">
        <v>1103.3</v>
      </c>
      <c r="T62" s="87">
        <v>59.4</v>
      </c>
      <c r="U62" s="87">
        <v>42.9</v>
      </c>
      <c r="V62" s="87">
        <v>122.1</v>
      </c>
      <c r="W62" s="87">
        <v>1.1000000000000001</v>
      </c>
      <c r="X62" s="87">
        <v>41.8</v>
      </c>
      <c r="Y62" s="87">
        <v>1.2</v>
      </c>
    </row>
    <row r="63" spans="1:25" s="120" customFormat="1" ht="22.05" customHeight="1" x14ac:dyDescent="0.3">
      <c r="A63" s="14"/>
      <c r="B63" s="268"/>
      <c r="C63" s="248" t="s">
        <v>22</v>
      </c>
      <c r="D63" s="249"/>
      <c r="E63" s="51">
        <v>110</v>
      </c>
      <c r="F63" s="52">
        <v>16.2</v>
      </c>
      <c r="G63" s="52">
        <v>13.5</v>
      </c>
      <c r="H63" s="52">
        <v>9.5</v>
      </c>
      <c r="I63" s="52">
        <v>223.5</v>
      </c>
      <c r="J63" s="134" t="s">
        <v>21</v>
      </c>
      <c r="K63" s="145">
        <v>52.84</v>
      </c>
      <c r="L63" s="145"/>
      <c r="M63" s="119">
        <v>0.04</v>
      </c>
      <c r="N63" s="119">
        <v>0.1</v>
      </c>
      <c r="O63" s="119">
        <v>1.9</v>
      </c>
      <c r="P63" s="119">
        <v>2.1</v>
      </c>
      <c r="Q63" s="119">
        <v>0</v>
      </c>
      <c r="R63" s="119">
        <v>295.8</v>
      </c>
      <c r="S63" s="119">
        <v>310.39999999999998</v>
      </c>
      <c r="T63" s="119">
        <v>29.4</v>
      </c>
      <c r="U63" s="119">
        <v>20.8</v>
      </c>
      <c r="V63" s="119">
        <v>172.4</v>
      </c>
      <c r="W63" s="119">
        <v>2.4</v>
      </c>
      <c r="X63" s="119">
        <v>32.700000000000003</v>
      </c>
      <c r="Y63" s="119">
        <v>1.8</v>
      </c>
    </row>
    <row r="64" spans="1:25" s="120" customFormat="1" ht="22.05" customHeight="1" x14ac:dyDescent="0.3">
      <c r="A64" s="14"/>
      <c r="B64" s="268"/>
      <c r="C64" s="248" t="s">
        <v>194</v>
      </c>
      <c r="D64" s="249"/>
      <c r="E64" s="51">
        <v>30</v>
      </c>
      <c r="F64" s="52">
        <v>0.99</v>
      </c>
      <c r="G64" s="52">
        <v>0.81</v>
      </c>
      <c r="H64" s="52">
        <v>2.4</v>
      </c>
      <c r="I64" s="52">
        <v>22.1</v>
      </c>
      <c r="J64" s="134" t="s">
        <v>195</v>
      </c>
      <c r="K64" s="145"/>
      <c r="L64" s="145"/>
      <c r="M64" s="119">
        <v>6.0000000000000001E-3</v>
      </c>
      <c r="N64" s="119">
        <v>0</v>
      </c>
      <c r="O64" s="119">
        <v>7.98</v>
      </c>
      <c r="P64" s="119">
        <v>0.06</v>
      </c>
      <c r="Q64" s="119">
        <v>0.6</v>
      </c>
      <c r="R64" s="119">
        <v>14.1</v>
      </c>
      <c r="S64" s="119">
        <v>10.5</v>
      </c>
      <c r="T64" s="119">
        <v>3.9</v>
      </c>
      <c r="U64" s="119">
        <v>1.5</v>
      </c>
      <c r="V64" s="119">
        <v>6.9</v>
      </c>
      <c r="W64" s="119">
        <v>0</v>
      </c>
      <c r="X64" s="119">
        <v>0.54</v>
      </c>
      <c r="Y64" s="119">
        <v>0.12</v>
      </c>
    </row>
    <row r="65" spans="1:25" s="48" customFormat="1" ht="22.05" customHeight="1" x14ac:dyDescent="0.3">
      <c r="A65" s="20"/>
      <c r="B65" s="268"/>
      <c r="C65" s="248" t="s">
        <v>114</v>
      </c>
      <c r="D65" s="249"/>
      <c r="E65" s="51">
        <v>47</v>
      </c>
      <c r="F65" s="52">
        <f>F16/100*47</f>
        <v>3.5720000000000001</v>
      </c>
      <c r="G65" s="52">
        <f t="shared" ref="G65:I65" si="13">G16/100*47</f>
        <v>0.42300000000000004</v>
      </c>
      <c r="H65" s="52">
        <f t="shared" si="13"/>
        <v>23.359000000000002</v>
      </c>
      <c r="I65" s="52">
        <f t="shared" si="13"/>
        <v>106.21999999999998</v>
      </c>
      <c r="J65" s="135" t="s">
        <v>63</v>
      </c>
      <c r="K65" s="145">
        <v>2.91</v>
      </c>
      <c r="L65" s="145"/>
      <c r="M65" s="87">
        <f>M16/40*47</f>
        <v>0.19270000000000001</v>
      </c>
      <c r="N65" s="87">
        <f t="shared" ref="N65:Y65" si="14">N16/40*47</f>
        <v>0.11867500000000002</v>
      </c>
      <c r="O65" s="87">
        <f t="shared" si="14"/>
        <v>0</v>
      </c>
      <c r="P65" s="87">
        <f t="shared" si="14"/>
        <v>2.6320000000000006</v>
      </c>
      <c r="Q65" s="87">
        <f t="shared" si="14"/>
        <v>9.4E-2</v>
      </c>
      <c r="R65" s="87">
        <f t="shared" si="14"/>
        <v>222.30999999999997</v>
      </c>
      <c r="S65" s="87">
        <f t="shared" si="14"/>
        <v>58.75</v>
      </c>
      <c r="T65" s="87">
        <f t="shared" si="14"/>
        <v>2.3029999999999999</v>
      </c>
      <c r="U65" s="87">
        <f t="shared" si="14"/>
        <v>19.27</v>
      </c>
      <c r="V65" s="87">
        <f t="shared" si="14"/>
        <v>60.63</v>
      </c>
      <c r="W65" s="87">
        <f t="shared" si="14"/>
        <v>1.6919999999999999</v>
      </c>
      <c r="X65" s="87">
        <f t="shared" si="14"/>
        <v>0</v>
      </c>
      <c r="Y65" s="87">
        <f t="shared" si="14"/>
        <v>13.536</v>
      </c>
    </row>
    <row r="66" spans="1:25" s="48" customFormat="1" ht="22.05" customHeight="1" x14ac:dyDescent="0.3">
      <c r="A66" s="20"/>
      <c r="B66" s="268"/>
      <c r="C66" s="248" t="s">
        <v>118</v>
      </c>
      <c r="D66" s="249"/>
      <c r="E66" s="51">
        <v>28</v>
      </c>
      <c r="F66" s="52">
        <f>F17/100*28</f>
        <v>1.3160000000000001</v>
      </c>
      <c r="G66" s="52">
        <f>G17/100*28</f>
        <v>0.19599999999999998</v>
      </c>
      <c r="H66" s="52">
        <f>H17/100*28</f>
        <v>13.943999999999999</v>
      </c>
      <c r="I66" s="52">
        <f>I17/100*28</f>
        <v>59.92</v>
      </c>
      <c r="J66" s="135" t="s">
        <v>63</v>
      </c>
      <c r="K66" s="145">
        <v>2.73</v>
      </c>
      <c r="L66" s="145"/>
      <c r="M66" s="87">
        <f t="shared" ref="M66:Y66" si="15">M17/40*28</f>
        <v>0.11900000000000001</v>
      </c>
      <c r="N66" s="87">
        <f t="shared" si="15"/>
        <v>9.1000000000000011E-2</v>
      </c>
      <c r="O66" s="87">
        <f t="shared" si="15"/>
        <v>0</v>
      </c>
      <c r="P66" s="87">
        <f t="shared" si="15"/>
        <v>1.0640000000000001</v>
      </c>
      <c r="Q66" s="87">
        <f t="shared" si="15"/>
        <v>0.112</v>
      </c>
      <c r="R66" s="87">
        <f t="shared" si="15"/>
        <v>168.83999999999997</v>
      </c>
      <c r="S66" s="87">
        <f t="shared" si="15"/>
        <v>20.439999999999998</v>
      </c>
      <c r="T66" s="87">
        <f t="shared" si="15"/>
        <v>0.33600000000000002</v>
      </c>
      <c r="U66" s="87">
        <f t="shared" si="15"/>
        <v>11.200000000000001</v>
      </c>
      <c r="V66" s="87">
        <f t="shared" si="15"/>
        <v>35</v>
      </c>
      <c r="W66" s="87">
        <f t="shared" si="15"/>
        <v>0.79099999999999993</v>
      </c>
      <c r="X66" s="87">
        <f t="shared" si="15"/>
        <v>0</v>
      </c>
      <c r="Y66" s="87">
        <f t="shared" si="15"/>
        <v>8.6519999999999992</v>
      </c>
    </row>
    <row r="67" spans="1:25" s="48" customFormat="1" ht="22.05" customHeight="1" x14ac:dyDescent="0.3">
      <c r="A67" s="20"/>
      <c r="B67" s="269"/>
      <c r="C67" s="248" t="s">
        <v>24</v>
      </c>
      <c r="D67" s="249"/>
      <c r="E67" s="51">
        <v>200</v>
      </c>
      <c r="F67" s="52">
        <v>0.2</v>
      </c>
      <c r="G67" s="52">
        <v>0</v>
      </c>
      <c r="H67" s="52">
        <v>6.4</v>
      </c>
      <c r="I67" s="52">
        <v>26.4</v>
      </c>
      <c r="J67" s="134" t="s">
        <v>23</v>
      </c>
      <c r="K67" s="145">
        <v>8.5299999999999994</v>
      </c>
      <c r="L67" s="145"/>
      <c r="M67" s="87">
        <v>0</v>
      </c>
      <c r="N67" s="87">
        <v>0</v>
      </c>
      <c r="O67" s="87">
        <v>0</v>
      </c>
      <c r="P67" s="87">
        <v>0.1</v>
      </c>
      <c r="Q67" s="87">
        <v>0</v>
      </c>
      <c r="R67" s="87">
        <v>1</v>
      </c>
      <c r="S67" s="87">
        <v>25</v>
      </c>
      <c r="T67" s="87">
        <v>4</v>
      </c>
      <c r="U67" s="87">
        <v>4</v>
      </c>
      <c r="V67" s="87">
        <v>7</v>
      </c>
      <c r="W67" s="87">
        <v>1</v>
      </c>
      <c r="X67" s="87">
        <v>0</v>
      </c>
      <c r="Y67" s="87">
        <v>0</v>
      </c>
    </row>
    <row r="68" spans="1:25" s="20" customFormat="1" ht="22.05" customHeight="1" x14ac:dyDescent="0.3">
      <c r="B68" s="43"/>
      <c r="C68" s="263" t="s">
        <v>108</v>
      </c>
      <c r="D68" s="264"/>
      <c r="E68" s="45">
        <f>SUM(E61:E67)</f>
        <v>735</v>
      </c>
      <c r="F68" s="58">
        <f>SUM(F61:F67)</f>
        <v>27.487999999999996</v>
      </c>
      <c r="G68" s="58">
        <f>SUM(G61:G67)</f>
        <v>25.868999999999996</v>
      </c>
      <c r="H68" s="58">
        <f>SUM(H61:H67)</f>
        <v>95.063000000000002</v>
      </c>
      <c r="I68" s="45">
        <f>SUM(I61:I67)</f>
        <v>714.14</v>
      </c>
      <c r="J68" s="74"/>
      <c r="K68" s="58">
        <f>SUM(K61:K67)</f>
        <v>101.93</v>
      </c>
      <c r="L68" s="145"/>
      <c r="M68" s="110">
        <f t="shared" ref="M68:Y68" si="16">SUM(M61:M67)</f>
        <v>0.56769999999999998</v>
      </c>
      <c r="N68" s="110">
        <f t="shared" si="16"/>
        <v>0.44967500000000005</v>
      </c>
      <c r="O68" s="110">
        <f t="shared" si="16"/>
        <v>43.980000000000004</v>
      </c>
      <c r="P68" s="110">
        <f t="shared" si="16"/>
        <v>7.3559999999999999</v>
      </c>
      <c r="Q68" s="110">
        <f t="shared" si="16"/>
        <v>21.406000000000002</v>
      </c>
      <c r="R68" s="110">
        <f t="shared" si="16"/>
        <v>1052.95</v>
      </c>
      <c r="S68" s="110">
        <f t="shared" si="16"/>
        <v>1528.3899999999999</v>
      </c>
      <c r="T68" s="110">
        <f t="shared" si="16"/>
        <v>133.85900000000001</v>
      </c>
      <c r="U68" s="110">
        <f t="shared" si="16"/>
        <v>117.92999999999999</v>
      </c>
      <c r="V68" s="110">
        <f t="shared" si="16"/>
        <v>434.18999999999994</v>
      </c>
      <c r="W68" s="110">
        <f t="shared" si="16"/>
        <v>7.8830000000000009</v>
      </c>
      <c r="X68" s="110">
        <f t="shared" si="16"/>
        <v>75.040000000000006</v>
      </c>
      <c r="Y68" s="110">
        <f t="shared" si="16"/>
        <v>25.308</v>
      </c>
    </row>
    <row r="69" spans="1:25" s="20" customFormat="1" ht="22.05" customHeight="1" x14ac:dyDescent="0.3">
      <c r="B69" s="39"/>
      <c r="C69" s="40"/>
      <c r="D69" s="40"/>
      <c r="E69" s="90"/>
      <c r="F69" s="97"/>
      <c r="G69" s="97"/>
      <c r="H69" s="97"/>
      <c r="I69" s="97"/>
      <c r="J69" s="90"/>
      <c r="K69" s="133"/>
      <c r="L69" s="159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</row>
    <row r="70" spans="1:25" s="48" customFormat="1" ht="22.05" customHeight="1" x14ac:dyDescent="0.3">
      <c r="A70" s="20"/>
      <c r="B70" s="292"/>
      <c r="C70" s="292"/>
      <c r="D70" s="292"/>
      <c r="E70" s="20"/>
      <c r="F70" s="20"/>
      <c r="G70" s="20"/>
      <c r="H70" s="20"/>
      <c r="I70" s="90"/>
      <c r="J70" s="90"/>
      <c r="K70" s="133"/>
      <c r="L70" s="159"/>
    </row>
    <row r="71" spans="1:25" s="48" customFormat="1" ht="22.05" customHeight="1" x14ac:dyDescent="0.3">
      <c r="A71" s="20"/>
      <c r="B71" s="252" t="s">
        <v>166</v>
      </c>
      <c r="C71" s="252"/>
      <c r="D71" s="252"/>
      <c r="E71" s="252"/>
      <c r="F71" s="252"/>
      <c r="G71" s="252"/>
      <c r="H71" s="252"/>
      <c r="I71" s="252"/>
      <c r="J71" s="252"/>
      <c r="K71" s="252"/>
      <c r="L71" s="159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</row>
    <row r="72" spans="1:25" s="48" customFormat="1" ht="22.05" customHeight="1" x14ac:dyDescent="0.3">
      <c r="A72" s="20"/>
      <c r="B72" s="303" t="s">
        <v>73</v>
      </c>
      <c r="C72" s="252" t="s">
        <v>1</v>
      </c>
      <c r="D72" s="252"/>
      <c r="E72" s="303" t="s">
        <v>74</v>
      </c>
      <c r="F72" s="252" t="s">
        <v>3</v>
      </c>
      <c r="G72" s="252"/>
      <c r="H72" s="252"/>
      <c r="I72" s="303" t="s">
        <v>145</v>
      </c>
      <c r="J72" s="252" t="s">
        <v>75</v>
      </c>
      <c r="K72" s="252" t="s">
        <v>185</v>
      </c>
      <c r="L72" s="161"/>
      <c r="M72" s="237" t="s">
        <v>159</v>
      </c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</row>
    <row r="73" spans="1:25" s="48" customFormat="1" ht="45" customHeight="1" x14ac:dyDescent="0.3">
      <c r="A73" s="20"/>
      <c r="B73" s="303"/>
      <c r="C73" s="252"/>
      <c r="D73" s="252"/>
      <c r="E73" s="303"/>
      <c r="F73" s="160" t="s">
        <v>142</v>
      </c>
      <c r="G73" s="160" t="s">
        <v>143</v>
      </c>
      <c r="H73" s="160" t="s">
        <v>144</v>
      </c>
      <c r="I73" s="303"/>
      <c r="J73" s="252"/>
      <c r="K73" s="252"/>
      <c r="L73" s="162"/>
      <c r="M73" s="238" t="s">
        <v>104</v>
      </c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</row>
    <row r="74" spans="1:25" s="50" customFormat="1" ht="22.05" customHeight="1" x14ac:dyDescent="0.3">
      <c r="A74" s="14"/>
      <c r="B74" s="301" t="s">
        <v>104</v>
      </c>
      <c r="C74" s="301"/>
      <c r="D74" s="301"/>
      <c r="E74" s="301"/>
      <c r="F74" s="301"/>
      <c r="G74" s="301"/>
      <c r="H74" s="301"/>
      <c r="I74" s="301"/>
      <c r="J74" s="301"/>
      <c r="K74" s="301"/>
      <c r="L74" s="153"/>
      <c r="M74" s="85" t="s">
        <v>146</v>
      </c>
      <c r="N74" s="85" t="s">
        <v>147</v>
      </c>
      <c r="O74" s="85" t="s">
        <v>148</v>
      </c>
      <c r="P74" s="85" t="s">
        <v>150</v>
      </c>
      <c r="Q74" s="85" t="s">
        <v>149</v>
      </c>
      <c r="R74" s="85" t="s">
        <v>151</v>
      </c>
      <c r="S74" s="85" t="s">
        <v>152</v>
      </c>
      <c r="T74" s="85" t="s">
        <v>153</v>
      </c>
      <c r="U74" s="85" t="s">
        <v>154</v>
      </c>
      <c r="V74" s="85" t="s">
        <v>155</v>
      </c>
      <c r="W74" s="85" t="s">
        <v>156</v>
      </c>
      <c r="X74" s="85" t="s">
        <v>157</v>
      </c>
      <c r="Y74" s="85" t="s">
        <v>158</v>
      </c>
    </row>
    <row r="75" spans="1:25" s="120" customFormat="1" ht="22.05" customHeight="1" x14ac:dyDescent="0.3">
      <c r="A75" s="20"/>
      <c r="B75" s="302"/>
      <c r="C75" s="291" t="s">
        <v>209</v>
      </c>
      <c r="D75" s="291"/>
      <c r="E75" s="51">
        <v>120</v>
      </c>
      <c r="F75" s="52">
        <v>2.4</v>
      </c>
      <c r="G75" s="52">
        <v>7.5</v>
      </c>
      <c r="H75" s="52">
        <v>7</v>
      </c>
      <c r="I75" s="52">
        <v>206.5</v>
      </c>
      <c r="J75" s="134">
        <v>22</v>
      </c>
      <c r="K75" s="145">
        <v>14.83</v>
      </c>
      <c r="L75" s="145"/>
      <c r="M75" s="119">
        <v>0.11</v>
      </c>
      <c r="N75" s="119">
        <v>0.11</v>
      </c>
      <c r="O75" s="119">
        <v>18</v>
      </c>
      <c r="P75" s="119">
        <v>0</v>
      </c>
      <c r="Q75" s="119">
        <v>4</v>
      </c>
      <c r="R75" s="119">
        <v>0</v>
      </c>
      <c r="S75" s="119">
        <v>0</v>
      </c>
      <c r="T75" s="119">
        <v>18.89</v>
      </c>
      <c r="U75" s="119">
        <v>21.96</v>
      </c>
      <c r="V75" s="119">
        <v>79.7</v>
      </c>
      <c r="W75" s="119">
        <v>0.93</v>
      </c>
      <c r="X75" s="119">
        <v>0</v>
      </c>
      <c r="Y75" s="119">
        <v>0</v>
      </c>
    </row>
    <row r="76" spans="1:25" s="48" customFormat="1" ht="22.05" customHeight="1" x14ac:dyDescent="0.3">
      <c r="A76" s="20"/>
      <c r="B76" s="302"/>
      <c r="C76" s="280" t="s">
        <v>81</v>
      </c>
      <c r="D76" s="280"/>
      <c r="E76" s="51">
        <v>230</v>
      </c>
      <c r="F76" s="52">
        <v>4.5199999999999996</v>
      </c>
      <c r="G76" s="52">
        <v>15.92</v>
      </c>
      <c r="H76" s="52">
        <v>14.96</v>
      </c>
      <c r="I76" s="52">
        <v>233.45</v>
      </c>
      <c r="J76" s="53" t="s">
        <v>82</v>
      </c>
      <c r="K76" s="145">
        <v>71.63</v>
      </c>
      <c r="L76" s="152"/>
      <c r="M76" s="87">
        <v>0.09</v>
      </c>
      <c r="N76" s="87">
        <v>0.15</v>
      </c>
      <c r="O76" s="87">
        <v>151.80000000000001</v>
      </c>
      <c r="P76" s="87">
        <v>5.14</v>
      </c>
      <c r="Q76" s="87">
        <v>36.799999999999997</v>
      </c>
      <c r="R76" s="87">
        <v>450.6</v>
      </c>
      <c r="S76" s="87">
        <v>511.5</v>
      </c>
      <c r="T76" s="87">
        <v>93.5</v>
      </c>
      <c r="U76" s="87">
        <v>37.43</v>
      </c>
      <c r="V76" s="87">
        <v>157.69999999999999</v>
      </c>
      <c r="W76" s="87">
        <v>2.39</v>
      </c>
      <c r="X76" s="87">
        <v>24.4</v>
      </c>
      <c r="Y76" s="87">
        <v>0.7</v>
      </c>
    </row>
    <row r="77" spans="1:25" s="48" customFormat="1" ht="22.05" customHeight="1" x14ac:dyDescent="0.3">
      <c r="A77" s="20"/>
      <c r="B77" s="302"/>
      <c r="C77" s="280" t="s">
        <v>114</v>
      </c>
      <c r="D77" s="280"/>
      <c r="E77" s="51">
        <v>38</v>
      </c>
      <c r="F77" s="52">
        <f>F16/100*38</f>
        <v>2.8879999999999999</v>
      </c>
      <c r="G77" s="52">
        <f t="shared" ref="G77:I77" si="17">G16/100*38</f>
        <v>0.34200000000000003</v>
      </c>
      <c r="H77" s="52">
        <f t="shared" si="17"/>
        <v>18.886000000000003</v>
      </c>
      <c r="I77" s="52">
        <f t="shared" si="17"/>
        <v>85.88</v>
      </c>
      <c r="J77" s="51" t="s">
        <v>63</v>
      </c>
      <c r="K77" s="145">
        <v>3.64</v>
      </c>
      <c r="L77" s="152"/>
      <c r="M77" s="87">
        <f>M16/40*38</f>
        <v>0.15580000000000002</v>
      </c>
      <c r="N77" s="87">
        <f t="shared" ref="N77:Y77" si="18">N16/40*38</f>
        <v>9.5950000000000008E-2</v>
      </c>
      <c r="O77" s="87">
        <f t="shared" si="18"/>
        <v>0</v>
      </c>
      <c r="P77" s="87">
        <f t="shared" si="18"/>
        <v>2.1280000000000001</v>
      </c>
      <c r="Q77" s="87">
        <f t="shared" si="18"/>
        <v>7.5999999999999998E-2</v>
      </c>
      <c r="R77" s="87">
        <f t="shared" si="18"/>
        <v>179.73999999999998</v>
      </c>
      <c r="S77" s="87">
        <f t="shared" si="18"/>
        <v>47.5</v>
      </c>
      <c r="T77" s="87">
        <f t="shared" si="18"/>
        <v>1.8620000000000001</v>
      </c>
      <c r="U77" s="87">
        <f t="shared" si="18"/>
        <v>15.579999999999998</v>
      </c>
      <c r="V77" s="87">
        <f t="shared" si="18"/>
        <v>49.02</v>
      </c>
      <c r="W77" s="87">
        <f t="shared" si="18"/>
        <v>1.3679999999999999</v>
      </c>
      <c r="X77" s="87">
        <f t="shared" si="18"/>
        <v>0</v>
      </c>
      <c r="Y77" s="87">
        <f t="shared" si="18"/>
        <v>10.943999999999999</v>
      </c>
    </row>
    <row r="78" spans="1:25" s="48" customFormat="1" ht="22.05" customHeight="1" x14ac:dyDescent="0.3">
      <c r="A78" s="20"/>
      <c r="B78" s="302"/>
      <c r="C78" s="280" t="s">
        <v>118</v>
      </c>
      <c r="D78" s="280"/>
      <c r="E78" s="51">
        <v>28</v>
      </c>
      <c r="F78" s="52">
        <f>F17/100*28</f>
        <v>1.3160000000000001</v>
      </c>
      <c r="G78" s="52">
        <f t="shared" ref="G78:I78" si="19">G17/100*28</f>
        <v>0.19599999999999998</v>
      </c>
      <c r="H78" s="52">
        <f t="shared" si="19"/>
        <v>13.943999999999999</v>
      </c>
      <c r="I78" s="52">
        <f t="shared" si="19"/>
        <v>59.92</v>
      </c>
      <c r="J78" s="51" t="s">
        <v>63</v>
      </c>
      <c r="K78" s="145">
        <v>2.91</v>
      </c>
      <c r="L78" s="152"/>
      <c r="M78" s="87">
        <f>M17/40*28</f>
        <v>0.11900000000000001</v>
      </c>
      <c r="N78" s="87">
        <f t="shared" ref="N78:Y78" si="20">N17/40*28</f>
        <v>9.1000000000000011E-2</v>
      </c>
      <c r="O78" s="87">
        <f t="shared" si="20"/>
        <v>0</v>
      </c>
      <c r="P78" s="87">
        <f t="shared" si="20"/>
        <v>1.0640000000000001</v>
      </c>
      <c r="Q78" s="87">
        <f t="shared" si="20"/>
        <v>0.112</v>
      </c>
      <c r="R78" s="87">
        <f t="shared" si="20"/>
        <v>168.83999999999997</v>
      </c>
      <c r="S78" s="87">
        <f t="shared" si="20"/>
        <v>20.439999999999998</v>
      </c>
      <c r="T78" s="87">
        <f t="shared" si="20"/>
        <v>0.33600000000000002</v>
      </c>
      <c r="U78" s="87">
        <f t="shared" si="20"/>
        <v>11.200000000000001</v>
      </c>
      <c r="V78" s="87">
        <f t="shared" si="20"/>
        <v>35</v>
      </c>
      <c r="W78" s="87">
        <f t="shared" si="20"/>
        <v>0.79099999999999993</v>
      </c>
      <c r="X78" s="87">
        <f t="shared" si="20"/>
        <v>0</v>
      </c>
      <c r="Y78" s="87">
        <f t="shared" si="20"/>
        <v>8.6519999999999992</v>
      </c>
    </row>
    <row r="79" spans="1:25" s="48" customFormat="1" ht="22.05" customHeight="1" x14ac:dyDescent="0.3">
      <c r="A79" s="20"/>
      <c r="B79" s="302"/>
      <c r="C79" s="248" t="s">
        <v>210</v>
      </c>
      <c r="D79" s="249"/>
      <c r="E79" s="51">
        <v>200</v>
      </c>
      <c r="F79" s="52">
        <v>0.18</v>
      </c>
      <c r="G79" s="52">
        <v>0.04</v>
      </c>
      <c r="H79" s="52">
        <v>21.74</v>
      </c>
      <c r="I79" s="52">
        <v>82.68</v>
      </c>
      <c r="J79" s="134">
        <v>1201</v>
      </c>
      <c r="K79" s="145">
        <v>8.5299999999999994</v>
      </c>
      <c r="L79" s="145"/>
      <c r="M79" s="87">
        <v>0</v>
      </c>
      <c r="N79" s="87">
        <v>0</v>
      </c>
      <c r="O79" s="87">
        <v>0</v>
      </c>
      <c r="P79" s="87">
        <v>0.04</v>
      </c>
      <c r="Q79" s="87">
        <v>3.57</v>
      </c>
      <c r="R79" s="87">
        <v>3.57</v>
      </c>
      <c r="S79" s="87">
        <v>39.299999999999997</v>
      </c>
      <c r="T79" s="87">
        <v>7.14</v>
      </c>
      <c r="U79" s="87">
        <v>3.57</v>
      </c>
      <c r="V79" s="87">
        <v>3.57</v>
      </c>
      <c r="W79" s="87">
        <v>0</v>
      </c>
      <c r="X79" s="87">
        <v>0</v>
      </c>
      <c r="Y79" s="87">
        <v>0</v>
      </c>
    </row>
    <row r="80" spans="1:25" s="48" customFormat="1" ht="22.05" customHeight="1" x14ac:dyDescent="0.3">
      <c r="B80" s="302"/>
      <c r="C80" s="300" t="s">
        <v>66</v>
      </c>
      <c r="D80" s="300"/>
      <c r="E80" s="68">
        <v>50</v>
      </c>
      <c r="F80" s="61">
        <v>0.7</v>
      </c>
      <c r="G80" s="61">
        <v>3.45</v>
      </c>
      <c r="H80" s="61">
        <v>11.45</v>
      </c>
      <c r="I80" s="61">
        <v>80</v>
      </c>
      <c r="J80" s="62" t="s">
        <v>63</v>
      </c>
      <c r="K80" s="147">
        <v>15</v>
      </c>
      <c r="L80" s="213"/>
      <c r="M80" s="140">
        <v>0.06</v>
      </c>
      <c r="N80" s="87">
        <v>0.04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19.28</v>
      </c>
      <c r="U80" s="87">
        <v>0</v>
      </c>
      <c r="V80" s="87">
        <v>0</v>
      </c>
      <c r="W80" s="87">
        <v>1.04</v>
      </c>
      <c r="X80" s="87">
        <v>0</v>
      </c>
      <c r="Y80" s="87">
        <v>0</v>
      </c>
    </row>
    <row r="81" spans="1:25" s="48" customFormat="1" ht="22.05" customHeight="1" x14ac:dyDescent="0.3">
      <c r="A81" s="14"/>
      <c r="B81" s="44"/>
      <c r="C81" s="297" t="s">
        <v>108</v>
      </c>
      <c r="D81" s="297"/>
      <c r="E81" s="45">
        <f>SUM(E75:E80)</f>
        <v>666</v>
      </c>
      <c r="F81" s="58">
        <f>SUM(F75:F80)</f>
        <v>12.004</v>
      </c>
      <c r="G81" s="58">
        <f>SUM(G75:G80)</f>
        <v>27.448</v>
      </c>
      <c r="H81" s="58">
        <f>SUM(H75:H80)</f>
        <v>87.98</v>
      </c>
      <c r="I81" s="58">
        <f>SUM(I75:I80)</f>
        <v>748.42999999999984</v>
      </c>
      <c r="J81" s="58"/>
      <c r="K81" s="58">
        <f>SUM(K75:K80)</f>
        <v>116.53999999999999</v>
      </c>
      <c r="L81" s="152"/>
      <c r="M81" s="109">
        <f t="shared" ref="M81:Y81" si="21">SUM(M75:M80)</f>
        <v>0.53479999999999994</v>
      </c>
      <c r="N81" s="109">
        <f t="shared" si="21"/>
        <v>0.48694999999999999</v>
      </c>
      <c r="O81" s="109">
        <f t="shared" si="21"/>
        <v>169.8</v>
      </c>
      <c r="P81" s="109">
        <f t="shared" si="21"/>
        <v>8.3719999999999999</v>
      </c>
      <c r="Q81" s="109">
        <f t="shared" si="21"/>
        <v>44.558</v>
      </c>
      <c r="R81" s="109">
        <f t="shared" si="21"/>
        <v>802.75000000000011</v>
      </c>
      <c r="S81" s="109">
        <f t="shared" si="21"/>
        <v>618.74</v>
      </c>
      <c r="T81" s="109">
        <f t="shared" si="21"/>
        <v>141.00799999999998</v>
      </c>
      <c r="U81" s="109">
        <f t="shared" si="21"/>
        <v>89.74</v>
      </c>
      <c r="V81" s="109">
        <f t="shared" si="21"/>
        <v>324.98999999999995</v>
      </c>
      <c r="W81" s="109">
        <f t="shared" si="21"/>
        <v>6.519000000000001</v>
      </c>
      <c r="X81" s="109">
        <f t="shared" si="21"/>
        <v>24.4</v>
      </c>
      <c r="Y81" s="109">
        <f t="shared" si="21"/>
        <v>20.295999999999999</v>
      </c>
    </row>
    <row r="82" spans="1:25" s="48" customFormat="1" ht="22.05" customHeight="1" x14ac:dyDescent="0.3">
      <c r="A82" s="14"/>
      <c r="B82" s="36"/>
      <c r="C82" s="92"/>
      <c r="D82" s="92"/>
      <c r="E82" s="14"/>
      <c r="F82" s="14"/>
      <c r="G82" s="14"/>
      <c r="H82" s="14"/>
      <c r="I82" s="14"/>
      <c r="J82" s="14"/>
      <c r="K82" s="133"/>
      <c r="L82" s="159"/>
    </row>
    <row r="83" spans="1:25" s="48" customFormat="1" ht="22.05" customHeight="1" x14ac:dyDescent="0.3">
      <c r="A83" s="20"/>
      <c r="B83" s="292"/>
      <c r="C83" s="292"/>
      <c r="D83" s="292"/>
      <c r="E83" s="21"/>
      <c r="F83" s="21"/>
      <c r="G83" s="21"/>
      <c r="H83" s="21"/>
      <c r="I83" s="21"/>
      <c r="J83" s="21"/>
      <c r="K83" s="133"/>
      <c r="L83" s="159"/>
    </row>
    <row r="84" spans="1:25" s="48" customFormat="1" ht="22.05" customHeight="1" x14ac:dyDescent="0.3">
      <c r="A84" s="20"/>
      <c r="B84" s="252" t="s">
        <v>62</v>
      </c>
      <c r="C84" s="252"/>
      <c r="D84" s="252"/>
      <c r="E84" s="252"/>
      <c r="F84" s="252"/>
      <c r="G84" s="252"/>
      <c r="H84" s="252"/>
      <c r="I84" s="252"/>
      <c r="J84" s="252"/>
      <c r="K84" s="252"/>
      <c r="L84" s="159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</row>
    <row r="85" spans="1:25" s="48" customFormat="1" ht="22.05" customHeight="1" x14ac:dyDescent="0.3">
      <c r="A85" s="20"/>
      <c r="B85" s="303" t="s">
        <v>73</v>
      </c>
      <c r="C85" s="252" t="s">
        <v>1</v>
      </c>
      <c r="D85" s="252"/>
      <c r="E85" s="303" t="s">
        <v>74</v>
      </c>
      <c r="F85" s="252" t="s">
        <v>3</v>
      </c>
      <c r="G85" s="252"/>
      <c r="H85" s="252"/>
      <c r="I85" s="303" t="s">
        <v>145</v>
      </c>
      <c r="J85" s="252" t="s">
        <v>75</v>
      </c>
      <c r="K85" s="252" t="s">
        <v>185</v>
      </c>
      <c r="L85" s="155"/>
      <c r="M85" s="237" t="s">
        <v>159</v>
      </c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</row>
    <row r="86" spans="1:25" s="48" customFormat="1" ht="42.6" customHeight="1" x14ac:dyDescent="0.3">
      <c r="A86" s="20"/>
      <c r="B86" s="303"/>
      <c r="C86" s="252"/>
      <c r="D86" s="252"/>
      <c r="E86" s="303"/>
      <c r="F86" s="160" t="s">
        <v>142</v>
      </c>
      <c r="G86" s="160" t="s">
        <v>143</v>
      </c>
      <c r="H86" s="160" t="s">
        <v>144</v>
      </c>
      <c r="I86" s="303"/>
      <c r="J86" s="252"/>
      <c r="K86" s="252"/>
      <c r="L86" s="156"/>
      <c r="M86" s="238" t="s">
        <v>93</v>
      </c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</row>
    <row r="87" spans="1:25" s="50" customFormat="1" ht="22.05" customHeight="1" x14ac:dyDescent="0.3">
      <c r="A87" s="14"/>
      <c r="B87" s="301" t="s">
        <v>93</v>
      </c>
      <c r="C87" s="301"/>
      <c r="D87" s="301"/>
      <c r="E87" s="301"/>
      <c r="F87" s="301"/>
      <c r="G87" s="301"/>
      <c r="H87" s="301"/>
      <c r="I87" s="301"/>
      <c r="J87" s="301"/>
      <c r="K87" s="301"/>
      <c r="L87" s="153"/>
      <c r="M87" s="85" t="s">
        <v>146</v>
      </c>
      <c r="N87" s="85" t="s">
        <v>147</v>
      </c>
      <c r="O87" s="85" t="s">
        <v>148</v>
      </c>
      <c r="P87" s="85" t="s">
        <v>150</v>
      </c>
      <c r="Q87" s="85" t="s">
        <v>149</v>
      </c>
      <c r="R87" s="85" t="s">
        <v>151</v>
      </c>
      <c r="S87" s="85" t="s">
        <v>152</v>
      </c>
      <c r="T87" s="85" t="s">
        <v>153</v>
      </c>
      <c r="U87" s="85" t="s">
        <v>154</v>
      </c>
      <c r="V87" s="85" t="s">
        <v>155</v>
      </c>
      <c r="W87" s="85" t="s">
        <v>156</v>
      </c>
      <c r="X87" s="85" t="s">
        <v>157</v>
      </c>
      <c r="Y87" s="85" t="s">
        <v>158</v>
      </c>
    </row>
    <row r="88" spans="1:25" s="48" customFormat="1" ht="28.2" customHeight="1" x14ac:dyDescent="0.3">
      <c r="A88" s="20"/>
      <c r="B88" s="218"/>
      <c r="C88" s="248" t="s">
        <v>107</v>
      </c>
      <c r="D88" s="249"/>
      <c r="E88" s="51">
        <v>100</v>
      </c>
      <c r="F88" s="52">
        <v>3.7</v>
      </c>
      <c r="G88" s="52">
        <v>9.1</v>
      </c>
      <c r="H88" s="52">
        <v>4.4000000000000004</v>
      </c>
      <c r="I88" s="52">
        <v>114</v>
      </c>
      <c r="J88" s="53">
        <v>7</v>
      </c>
      <c r="K88" s="145">
        <v>11.06</v>
      </c>
      <c r="L88" s="145"/>
      <c r="M88" s="87">
        <v>0.06</v>
      </c>
      <c r="N88" s="87">
        <v>0.1</v>
      </c>
      <c r="O88" s="87">
        <v>25</v>
      </c>
      <c r="P88" s="87">
        <v>0</v>
      </c>
      <c r="Q88" s="87">
        <v>9.83</v>
      </c>
      <c r="R88" s="87">
        <v>0</v>
      </c>
      <c r="S88" s="87">
        <v>0</v>
      </c>
      <c r="T88" s="87">
        <v>37.270000000000003</v>
      </c>
      <c r="U88" s="87">
        <v>15.27</v>
      </c>
      <c r="V88" s="87">
        <v>65.98</v>
      </c>
      <c r="W88" s="87">
        <v>0.82</v>
      </c>
      <c r="X88" s="87">
        <v>0</v>
      </c>
      <c r="Y88" s="87">
        <v>0</v>
      </c>
    </row>
    <row r="89" spans="1:25" s="48" customFormat="1" ht="22.05" customHeight="1" x14ac:dyDescent="0.3">
      <c r="B89" s="219"/>
      <c r="C89" s="305" t="s">
        <v>10</v>
      </c>
      <c r="D89" s="305"/>
      <c r="E89" s="60">
        <v>200</v>
      </c>
      <c r="F89" s="61">
        <v>11</v>
      </c>
      <c r="G89" s="61">
        <v>9.6999999999999993</v>
      </c>
      <c r="H89" s="61">
        <v>57</v>
      </c>
      <c r="I89" s="61">
        <v>350</v>
      </c>
      <c r="J89" s="62" t="s">
        <v>65</v>
      </c>
      <c r="K89" s="147">
        <v>14.27</v>
      </c>
      <c r="L89" s="149"/>
      <c r="M89" s="87">
        <v>0.28000000000000003</v>
      </c>
      <c r="N89" s="87">
        <v>0.16</v>
      </c>
      <c r="O89" s="87">
        <v>36.700000000000003</v>
      </c>
      <c r="P89" s="87">
        <v>5.31</v>
      </c>
      <c r="Q89" s="87">
        <v>0</v>
      </c>
      <c r="R89" s="87">
        <v>199</v>
      </c>
      <c r="S89" s="87">
        <v>292</v>
      </c>
      <c r="T89" s="87">
        <v>18.7</v>
      </c>
      <c r="U89" s="87">
        <v>160</v>
      </c>
      <c r="V89" s="87">
        <v>240</v>
      </c>
      <c r="W89" s="87">
        <v>5.3</v>
      </c>
      <c r="X89" s="87">
        <v>29.7</v>
      </c>
      <c r="Y89" s="87">
        <v>4.7</v>
      </c>
    </row>
    <row r="90" spans="1:25" s="120" customFormat="1" ht="22.05" customHeight="1" x14ac:dyDescent="0.3">
      <c r="A90" s="20"/>
      <c r="B90" s="219"/>
      <c r="C90" s="248" t="s">
        <v>196</v>
      </c>
      <c r="D90" s="249"/>
      <c r="E90" s="51">
        <v>120</v>
      </c>
      <c r="F90" s="52">
        <v>16.149999999999999</v>
      </c>
      <c r="G90" s="52">
        <v>4.45</v>
      </c>
      <c r="H90" s="52">
        <v>3.22</v>
      </c>
      <c r="I90" s="52">
        <v>118.6</v>
      </c>
      <c r="J90" s="134">
        <v>311</v>
      </c>
      <c r="K90" s="145">
        <v>47.01</v>
      </c>
      <c r="L90" s="145"/>
      <c r="M90" s="119">
        <v>0.1</v>
      </c>
      <c r="N90" s="119">
        <v>0.12</v>
      </c>
      <c r="O90" s="119">
        <v>74.97</v>
      </c>
      <c r="P90" s="119">
        <v>4.6500000000000004</v>
      </c>
      <c r="Q90" s="119">
        <v>2.87</v>
      </c>
      <c r="R90" s="119">
        <v>275.26</v>
      </c>
      <c r="S90" s="119">
        <v>4.3099999999999996</v>
      </c>
      <c r="T90" s="119">
        <v>14.73</v>
      </c>
      <c r="U90" s="119">
        <v>17.13</v>
      </c>
      <c r="V90" s="119">
        <v>126.65</v>
      </c>
      <c r="W90" s="119">
        <v>1.1100000000000001</v>
      </c>
      <c r="X90" s="119">
        <v>39.090000000000003</v>
      </c>
      <c r="Y90" s="119">
        <v>0</v>
      </c>
    </row>
    <row r="91" spans="1:25" s="48" customFormat="1" ht="22.05" customHeight="1" x14ac:dyDescent="0.3">
      <c r="A91" s="20"/>
      <c r="B91" s="219"/>
      <c r="C91" s="280" t="s">
        <v>114</v>
      </c>
      <c r="D91" s="280"/>
      <c r="E91" s="51">
        <v>44</v>
      </c>
      <c r="F91" s="52">
        <f>F16/100*44</f>
        <v>3.3439999999999999</v>
      </c>
      <c r="G91" s="52">
        <f>G16/100*44</f>
        <v>0.39600000000000002</v>
      </c>
      <c r="H91" s="52">
        <f>H16/100*44</f>
        <v>21.868000000000002</v>
      </c>
      <c r="I91" s="52">
        <f>I16/100*44</f>
        <v>99.44</v>
      </c>
      <c r="J91" s="51" t="s">
        <v>63</v>
      </c>
      <c r="K91" s="145">
        <v>4.09</v>
      </c>
      <c r="L91" s="145"/>
      <c r="M91" s="87">
        <f t="shared" ref="M91:Y91" si="22">M16/40*44</f>
        <v>0.1804</v>
      </c>
      <c r="N91" s="87">
        <f t="shared" si="22"/>
        <v>0.11110000000000002</v>
      </c>
      <c r="O91" s="87">
        <f t="shared" si="22"/>
        <v>0</v>
      </c>
      <c r="P91" s="87">
        <f t="shared" si="22"/>
        <v>2.4640000000000004</v>
      </c>
      <c r="Q91" s="87">
        <f t="shared" si="22"/>
        <v>8.7999999999999995E-2</v>
      </c>
      <c r="R91" s="87">
        <f t="shared" si="22"/>
        <v>208.11999999999998</v>
      </c>
      <c r="S91" s="87">
        <f t="shared" si="22"/>
        <v>55</v>
      </c>
      <c r="T91" s="87">
        <f t="shared" si="22"/>
        <v>2.1560000000000001</v>
      </c>
      <c r="U91" s="87">
        <f t="shared" si="22"/>
        <v>18.04</v>
      </c>
      <c r="V91" s="87">
        <f t="shared" si="22"/>
        <v>56.760000000000005</v>
      </c>
      <c r="W91" s="87">
        <f t="shared" si="22"/>
        <v>1.5839999999999999</v>
      </c>
      <c r="X91" s="87">
        <f t="shared" si="22"/>
        <v>0</v>
      </c>
      <c r="Y91" s="87">
        <f t="shared" si="22"/>
        <v>12.671999999999999</v>
      </c>
    </row>
    <row r="92" spans="1:25" s="48" customFormat="1" ht="22.05" customHeight="1" x14ac:dyDescent="0.3">
      <c r="A92" s="20"/>
      <c r="B92" s="219"/>
      <c r="C92" s="280" t="s">
        <v>118</v>
      </c>
      <c r="D92" s="280"/>
      <c r="E92" s="51">
        <v>40</v>
      </c>
      <c r="F92" s="52">
        <f>F17/100*40</f>
        <v>1.88</v>
      </c>
      <c r="G92" s="52">
        <f t="shared" ref="G92:I92" si="23">G17/100*40</f>
        <v>0.27999999999999997</v>
      </c>
      <c r="H92" s="52">
        <f t="shared" si="23"/>
        <v>19.920000000000002</v>
      </c>
      <c r="I92" s="52">
        <f t="shared" si="23"/>
        <v>85.600000000000009</v>
      </c>
      <c r="J92" s="51" t="s">
        <v>63</v>
      </c>
      <c r="K92" s="145">
        <v>4</v>
      </c>
      <c r="L92" s="145"/>
      <c r="M92" s="87">
        <f t="shared" ref="M92:Y92" si="24">M17</f>
        <v>0.17</v>
      </c>
      <c r="N92" s="87">
        <f t="shared" si="24"/>
        <v>0.13</v>
      </c>
      <c r="O92" s="87">
        <f t="shared" si="24"/>
        <v>0</v>
      </c>
      <c r="P92" s="87">
        <f t="shared" si="24"/>
        <v>1.52</v>
      </c>
      <c r="Q92" s="87">
        <f t="shared" si="24"/>
        <v>0.16</v>
      </c>
      <c r="R92" s="87">
        <f t="shared" si="24"/>
        <v>241.2</v>
      </c>
      <c r="S92" s="87">
        <f t="shared" si="24"/>
        <v>29.2</v>
      </c>
      <c r="T92" s="87">
        <f t="shared" si="24"/>
        <v>0.48</v>
      </c>
      <c r="U92" s="87">
        <f t="shared" si="24"/>
        <v>16</v>
      </c>
      <c r="V92" s="87">
        <f t="shared" si="24"/>
        <v>50</v>
      </c>
      <c r="W92" s="87">
        <f t="shared" si="24"/>
        <v>1.1299999999999999</v>
      </c>
      <c r="X92" s="87">
        <f t="shared" si="24"/>
        <v>0</v>
      </c>
      <c r="Y92" s="87">
        <f t="shared" si="24"/>
        <v>12.36</v>
      </c>
    </row>
    <row r="93" spans="1:25" s="48" customFormat="1" ht="22.05" customHeight="1" x14ac:dyDescent="0.3">
      <c r="A93" s="20"/>
      <c r="B93" s="219"/>
      <c r="C93" s="248" t="s">
        <v>216</v>
      </c>
      <c r="D93" s="249"/>
      <c r="E93" s="51">
        <v>200</v>
      </c>
      <c r="F93" s="52">
        <v>0.2</v>
      </c>
      <c r="G93" s="52">
        <v>0</v>
      </c>
      <c r="H93" s="52">
        <v>6.4</v>
      </c>
      <c r="I93" s="52">
        <v>26.4</v>
      </c>
      <c r="J93" s="134" t="s">
        <v>23</v>
      </c>
      <c r="K93" s="145">
        <v>1.25</v>
      </c>
      <c r="L93" s="145"/>
      <c r="M93" s="87">
        <v>0</v>
      </c>
      <c r="N93" s="87">
        <v>0</v>
      </c>
      <c r="O93" s="87">
        <v>0</v>
      </c>
      <c r="P93" s="87">
        <v>0.1</v>
      </c>
      <c r="Q93" s="87">
        <v>0</v>
      </c>
      <c r="R93" s="87">
        <v>1</v>
      </c>
      <c r="S93" s="87">
        <v>25</v>
      </c>
      <c r="T93" s="87">
        <v>4</v>
      </c>
      <c r="U93" s="87">
        <v>4</v>
      </c>
      <c r="V93" s="87">
        <v>7</v>
      </c>
      <c r="W93" s="87">
        <v>1</v>
      </c>
      <c r="X93" s="87">
        <v>0</v>
      </c>
      <c r="Y93" s="87">
        <v>0</v>
      </c>
    </row>
    <row r="94" spans="1:25" s="50" customFormat="1" ht="22.05" customHeight="1" x14ac:dyDescent="0.3">
      <c r="A94" s="49"/>
      <c r="B94" s="219"/>
      <c r="C94" s="273" t="s">
        <v>44</v>
      </c>
      <c r="D94" s="274"/>
      <c r="E94" s="54">
        <v>200</v>
      </c>
      <c r="F94" s="55">
        <v>1.1000000000000001</v>
      </c>
      <c r="G94" s="55">
        <v>0.22</v>
      </c>
      <c r="H94" s="55">
        <v>25</v>
      </c>
      <c r="I94" s="55">
        <v>102</v>
      </c>
      <c r="J94" s="56" t="s">
        <v>63</v>
      </c>
      <c r="K94" s="146">
        <v>36</v>
      </c>
      <c r="L94" s="146"/>
      <c r="M94" s="129">
        <v>0.02</v>
      </c>
      <c r="N94" s="129">
        <v>0.02</v>
      </c>
      <c r="O94" s="129">
        <v>0</v>
      </c>
      <c r="P94" s="129">
        <v>0.04</v>
      </c>
      <c r="Q94" s="129">
        <v>4</v>
      </c>
      <c r="R94" s="129">
        <v>12</v>
      </c>
      <c r="S94" s="129">
        <v>240</v>
      </c>
      <c r="T94" s="129">
        <v>14</v>
      </c>
      <c r="U94" s="129">
        <v>8</v>
      </c>
      <c r="V94" s="129">
        <v>14</v>
      </c>
      <c r="W94" s="129">
        <v>2.8</v>
      </c>
      <c r="X94" s="129">
        <v>2</v>
      </c>
      <c r="Y94" s="129">
        <v>0</v>
      </c>
    </row>
    <row r="95" spans="1:25" s="48" customFormat="1" ht="22.05" customHeight="1" x14ac:dyDescent="0.3">
      <c r="A95" s="20"/>
      <c r="B95" s="200"/>
      <c r="C95" s="304" t="s">
        <v>108</v>
      </c>
      <c r="D95" s="304"/>
      <c r="E95" s="101">
        <f>SUM(E88:E94)</f>
        <v>904</v>
      </c>
      <c r="F95" s="101">
        <f>SUM(F88:F94)</f>
        <v>37.374000000000002</v>
      </c>
      <c r="G95" s="101">
        <f>SUM(G88:G94)</f>
        <v>24.145999999999997</v>
      </c>
      <c r="H95" s="101">
        <f>SUM(H88:H94)</f>
        <v>137.80799999999999</v>
      </c>
      <c r="I95" s="101">
        <f>SUM(I88:I94)</f>
        <v>896.04</v>
      </c>
      <c r="J95" s="101"/>
      <c r="K95" s="58">
        <f>SUM(K89:K94)</f>
        <v>106.62</v>
      </c>
      <c r="L95" s="145"/>
      <c r="M95" s="109">
        <f t="shared" ref="M95:Y95" si="25">SUM(M88:M94)</f>
        <v>0.81040000000000012</v>
      </c>
      <c r="N95" s="109">
        <f t="shared" si="25"/>
        <v>0.6411</v>
      </c>
      <c r="O95" s="109">
        <f t="shared" si="25"/>
        <v>136.67000000000002</v>
      </c>
      <c r="P95" s="109">
        <f t="shared" si="25"/>
        <v>14.084</v>
      </c>
      <c r="Q95" s="109">
        <f t="shared" si="25"/>
        <v>16.948</v>
      </c>
      <c r="R95" s="109">
        <f t="shared" si="25"/>
        <v>936.57999999999993</v>
      </c>
      <c r="S95" s="109">
        <f t="shared" si="25"/>
        <v>645.51</v>
      </c>
      <c r="T95" s="109">
        <f t="shared" si="25"/>
        <v>91.336000000000013</v>
      </c>
      <c r="U95" s="109">
        <f t="shared" si="25"/>
        <v>238.44</v>
      </c>
      <c r="V95" s="109">
        <f t="shared" si="25"/>
        <v>560.39</v>
      </c>
      <c r="W95" s="109">
        <f t="shared" si="25"/>
        <v>13.744</v>
      </c>
      <c r="X95" s="109">
        <f t="shared" si="25"/>
        <v>70.790000000000006</v>
      </c>
      <c r="Y95" s="109">
        <f t="shared" si="25"/>
        <v>29.731999999999999</v>
      </c>
    </row>
    <row r="96" spans="1:25" s="120" customFormat="1" ht="22.05" customHeight="1" x14ac:dyDescent="0.3">
      <c r="A96" s="20"/>
      <c r="B96" s="199"/>
      <c r="C96" s="38"/>
      <c r="D96" s="38"/>
      <c r="E96" s="99"/>
      <c r="F96" s="100"/>
      <c r="G96" s="100"/>
      <c r="H96" s="100"/>
      <c r="I96" s="100"/>
      <c r="J96" s="99"/>
      <c r="K96" s="97"/>
      <c r="L96" s="97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</row>
    <row r="97" spans="1:25" s="50" customFormat="1" ht="22.05" customHeight="1" x14ac:dyDescent="0.3">
      <c r="A97" s="14"/>
      <c r="B97" s="36"/>
      <c r="C97" s="196"/>
      <c r="D97" s="196"/>
      <c r="E97" s="14"/>
      <c r="F97" s="37"/>
      <c r="G97" s="37"/>
      <c r="H97" s="37"/>
      <c r="I97" s="37"/>
      <c r="J97" s="14"/>
      <c r="K97" s="65"/>
      <c r="L97" s="65"/>
    </row>
    <row r="98" spans="1:25" s="48" customFormat="1" ht="22.05" customHeight="1" x14ac:dyDescent="0.3">
      <c r="A98" s="20"/>
      <c r="B98" s="252" t="s">
        <v>62</v>
      </c>
      <c r="C98" s="252"/>
      <c r="D98" s="252"/>
      <c r="E98" s="252"/>
      <c r="F98" s="252"/>
      <c r="G98" s="252"/>
      <c r="H98" s="252"/>
      <c r="I98" s="252"/>
      <c r="J98" s="252"/>
      <c r="K98" s="252"/>
      <c r="L98" s="159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</row>
    <row r="99" spans="1:25" s="48" customFormat="1" ht="22.05" customHeight="1" x14ac:dyDescent="0.3">
      <c r="A99" s="20"/>
      <c r="B99" s="303" t="s">
        <v>73</v>
      </c>
      <c r="C99" s="252" t="s">
        <v>1</v>
      </c>
      <c r="D99" s="252"/>
      <c r="E99" s="303" t="s">
        <v>74</v>
      </c>
      <c r="F99" s="252" t="s">
        <v>3</v>
      </c>
      <c r="G99" s="252"/>
      <c r="H99" s="252"/>
      <c r="I99" s="303" t="s">
        <v>145</v>
      </c>
      <c r="J99" s="252" t="s">
        <v>75</v>
      </c>
      <c r="K99" s="252" t="s">
        <v>185</v>
      </c>
      <c r="L99" s="155"/>
      <c r="M99" s="237" t="s">
        <v>159</v>
      </c>
      <c r="N99" s="237"/>
      <c r="O99" s="237"/>
      <c r="P99" s="237"/>
      <c r="Q99" s="237"/>
      <c r="R99" s="237"/>
      <c r="S99" s="237"/>
      <c r="T99" s="237"/>
      <c r="U99" s="237"/>
      <c r="V99" s="237"/>
      <c r="W99" s="237"/>
      <c r="X99" s="237"/>
      <c r="Y99" s="237"/>
    </row>
    <row r="100" spans="1:25" s="48" customFormat="1" ht="43.8" customHeight="1" x14ac:dyDescent="0.3">
      <c r="A100" s="20"/>
      <c r="B100" s="303"/>
      <c r="C100" s="252"/>
      <c r="D100" s="252"/>
      <c r="E100" s="303"/>
      <c r="F100" s="160" t="s">
        <v>142</v>
      </c>
      <c r="G100" s="160" t="s">
        <v>143</v>
      </c>
      <c r="H100" s="160" t="s">
        <v>144</v>
      </c>
      <c r="I100" s="303"/>
      <c r="J100" s="252"/>
      <c r="K100" s="252"/>
      <c r="L100" s="156"/>
      <c r="M100" s="238" t="s">
        <v>79</v>
      </c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</row>
    <row r="101" spans="1:25" s="48" customFormat="1" ht="22.05" customHeight="1" x14ac:dyDescent="0.3">
      <c r="A101" s="20"/>
      <c r="B101" s="301" t="s">
        <v>79</v>
      </c>
      <c r="C101" s="301"/>
      <c r="D101" s="301"/>
      <c r="E101" s="301"/>
      <c r="F101" s="301"/>
      <c r="G101" s="301"/>
      <c r="H101" s="301"/>
      <c r="I101" s="301"/>
      <c r="J101" s="301"/>
      <c r="K101" s="301"/>
      <c r="L101" s="153"/>
      <c r="M101" s="86" t="s">
        <v>146</v>
      </c>
      <c r="N101" s="86" t="s">
        <v>147</v>
      </c>
      <c r="O101" s="86" t="s">
        <v>148</v>
      </c>
      <c r="P101" s="86" t="s">
        <v>150</v>
      </c>
      <c r="Q101" s="86" t="s">
        <v>149</v>
      </c>
      <c r="R101" s="86" t="s">
        <v>151</v>
      </c>
      <c r="S101" s="86" t="s">
        <v>152</v>
      </c>
      <c r="T101" s="86" t="s">
        <v>153</v>
      </c>
      <c r="U101" s="86" t="s">
        <v>154</v>
      </c>
      <c r="V101" s="86" t="s">
        <v>155</v>
      </c>
      <c r="W101" s="86" t="s">
        <v>156</v>
      </c>
      <c r="X101" s="86" t="s">
        <v>157</v>
      </c>
      <c r="Y101" s="86" t="s">
        <v>158</v>
      </c>
    </row>
    <row r="102" spans="1:25" s="48" customFormat="1" ht="22.05" customHeight="1" x14ac:dyDescent="0.3">
      <c r="B102" s="306"/>
      <c r="C102" s="295" t="s">
        <v>211</v>
      </c>
      <c r="D102" s="296"/>
      <c r="E102" s="60">
        <v>100</v>
      </c>
      <c r="F102" s="61">
        <v>2.2999999999999998</v>
      </c>
      <c r="G102" s="61">
        <v>7.2</v>
      </c>
      <c r="H102" s="61">
        <v>11.7</v>
      </c>
      <c r="I102" s="61">
        <v>119.5</v>
      </c>
      <c r="J102" s="137" t="s">
        <v>212</v>
      </c>
      <c r="K102" s="147">
        <v>12.07</v>
      </c>
      <c r="L102" s="149"/>
      <c r="M102" s="87">
        <v>0.03</v>
      </c>
      <c r="N102" s="87">
        <v>0.02</v>
      </c>
      <c r="O102" s="87">
        <v>0</v>
      </c>
      <c r="P102" s="87">
        <v>0.33</v>
      </c>
      <c r="Q102" s="87">
        <v>6.67</v>
      </c>
      <c r="R102" s="87">
        <v>235</v>
      </c>
      <c r="S102" s="87">
        <v>248.33</v>
      </c>
      <c r="T102" s="87">
        <v>36.67</v>
      </c>
      <c r="U102" s="87">
        <v>30</v>
      </c>
      <c r="V102" s="87">
        <v>53.33</v>
      </c>
      <c r="W102" s="87">
        <v>1.67</v>
      </c>
      <c r="X102" s="87">
        <v>19</v>
      </c>
      <c r="Y102" s="87">
        <v>0.67</v>
      </c>
    </row>
    <row r="103" spans="1:25" s="120" customFormat="1" ht="22.05" customHeight="1" x14ac:dyDescent="0.3">
      <c r="A103" s="20"/>
      <c r="B103" s="306"/>
      <c r="C103" s="291" t="s">
        <v>34</v>
      </c>
      <c r="D103" s="291"/>
      <c r="E103" s="51">
        <v>200</v>
      </c>
      <c r="F103" s="52">
        <v>3.53</v>
      </c>
      <c r="G103" s="52">
        <v>6.71</v>
      </c>
      <c r="H103" s="52">
        <v>27.88</v>
      </c>
      <c r="I103" s="52">
        <v>186.24</v>
      </c>
      <c r="J103" s="53" t="s">
        <v>223</v>
      </c>
      <c r="K103" s="145">
        <v>34.68</v>
      </c>
      <c r="L103" s="145"/>
      <c r="M103" s="87">
        <v>0.16</v>
      </c>
      <c r="N103" s="87">
        <v>0.1</v>
      </c>
      <c r="O103" s="87">
        <v>31</v>
      </c>
      <c r="P103" s="87">
        <v>1.3</v>
      </c>
      <c r="Q103" s="87">
        <v>13</v>
      </c>
      <c r="R103" s="87">
        <v>319</v>
      </c>
      <c r="S103" s="87">
        <v>1003</v>
      </c>
      <c r="T103" s="87">
        <v>54</v>
      </c>
      <c r="U103" s="87">
        <v>39</v>
      </c>
      <c r="V103" s="87">
        <v>111</v>
      </c>
      <c r="W103" s="87">
        <v>1</v>
      </c>
      <c r="X103" s="87">
        <v>38</v>
      </c>
      <c r="Y103" s="87">
        <v>1.1000000000000001</v>
      </c>
    </row>
    <row r="104" spans="1:25" s="120" customFormat="1" ht="22.05" customHeight="1" x14ac:dyDescent="0.3">
      <c r="A104" s="20"/>
      <c r="B104" s="306"/>
      <c r="C104" s="291" t="s">
        <v>213</v>
      </c>
      <c r="D104" s="291"/>
      <c r="E104" s="51">
        <v>100</v>
      </c>
      <c r="F104" s="52">
        <v>13.1</v>
      </c>
      <c r="G104" s="52">
        <v>7.5</v>
      </c>
      <c r="H104" s="52">
        <v>3.1</v>
      </c>
      <c r="I104" s="52">
        <v>132.9</v>
      </c>
      <c r="J104" s="134" t="s">
        <v>214</v>
      </c>
      <c r="K104" s="145">
        <v>43.38</v>
      </c>
      <c r="L104" s="145"/>
      <c r="M104" s="119">
        <v>0.08</v>
      </c>
      <c r="N104" s="119">
        <v>0.14000000000000001</v>
      </c>
      <c r="O104" s="119">
        <v>8.6</v>
      </c>
      <c r="P104" s="119">
        <v>0.8</v>
      </c>
      <c r="Q104" s="119">
        <v>1.3</v>
      </c>
      <c r="R104" s="119">
        <v>114</v>
      </c>
      <c r="S104" s="119">
        <v>424</v>
      </c>
      <c r="T104" s="119">
        <v>40</v>
      </c>
      <c r="U104" s="119">
        <v>46</v>
      </c>
      <c r="V104" s="119">
        <v>35</v>
      </c>
      <c r="W104" s="119">
        <v>0</v>
      </c>
      <c r="X104" s="119">
        <v>133.5</v>
      </c>
      <c r="Y104" s="119">
        <v>12</v>
      </c>
    </row>
    <row r="105" spans="1:25" s="48" customFormat="1" ht="22.05" customHeight="1" x14ac:dyDescent="0.3">
      <c r="A105" s="20"/>
      <c r="B105" s="306"/>
      <c r="C105" s="280" t="s">
        <v>114</v>
      </c>
      <c r="D105" s="280"/>
      <c r="E105" s="51">
        <v>50</v>
      </c>
      <c r="F105" s="52">
        <f>F16/100*50</f>
        <v>3.8</v>
      </c>
      <c r="G105" s="52">
        <f>G16/100*50</f>
        <v>0.45000000000000007</v>
      </c>
      <c r="H105" s="52">
        <f>H16/100*50</f>
        <v>24.85</v>
      </c>
      <c r="I105" s="52">
        <f>I16/100*50</f>
        <v>112.99999999999999</v>
      </c>
      <c r="J105" s="51" t="s">
        <v>63</v>
      </c>
      <c r="K105" s="145">
        <v>3.18</v>
      </c>
      <c r="L105" s="145"/>
      <c r="M105" s="87">
        <f t="shared" ref="M105:Y105" si="26">M16/40*50</f>
        <v>0.20500000000000002</v>
      </c>
      <c r="N105" s="87">
        <f t="shared" si="26"/>
        <v>0.12625000000000003</v>
      </c>
      <c r="O105" s="87">
        <f t="shared" si="26"/>
        <v>0</v>
      </c>
      <c r="P105" s="87">
        <f t="shared" si="26"/>
        <v>2.8000000000000003</v>
      </c>
      <c r="Q105" s="87">
        <f t="shared" si="26"/>
        <v>0.1</v>
      </c>
      <c r="R105" s="87">
        <f t="shared" si="26"/>
        <v>236.49999999999997</v>
      </c>
      <c r="S105" s="87">
        <f t="shared" si="26"/>
        <v>62.5</v>
      </c>
      <c r="T105" s="87">
        <f t="shared" si="26"/>
        <v>2.4500000000000002</v>
      </c>
      <c r="U105" s="87">
        <f t="shared" si="26"/>
        <v>20.5</v>
      </c>
      <c r="V105" s="87">
        <f t="shared" si="26"/>
        <v>64.5</v>
      </c>
      <c r="W105" s="87">
        <f t="shared" si="26"/>
        <v>1.7999999999999998</v>
      </c>
      <c r="X105" s="87">
        <f t="shared" si="26"/>
        <v>0</v>
      </c>
      <c r="Y105" s="87">
        <f t="shared" si="26"/>
        <v>14.399999999999999</v>
      </c>
    </row>
    <row r="106" spans="1:25" s="48" customFormat="1" ht="22.05" customHeight="1" x14ac:dyDescent="0.3">
      <c r="A106" s="20"/>
      <c r="B106" s="306"/>
      <c r="C106" s="280" t="s">
        <v>118</v>
      </c>
      <c r="D106" s="280"/>
      <c r="E106" s="51">
        <v>40</v>
      </c>
      <c r="F106" s="52">
        <f>F17/100*40</f>
        <v>1.88</v>
      </c>
      <c r="G106" s="52">
        <f t="shared" ref="G106:I106" si="27">G17/100*40</f>
        <v>0.27999999999999997</v>
      </c>
      <c r="H106" s="52">
        <f t="shared" si="27"/>
        <v>19.920000000000002</v>
      </c>
      <c r="I106" s="52">
        <f t="shared" si="27"/>
        <v>85.600000000000009</v>
      </c>
      <c r="J106" s="51" t="s">
        <v>63</v>
      </c>
      <c r="K106" s="145">
        <v>2.73</v>
      </c>
      <c r="L106" s="145"/>
      <c r="M106" s="87">
        <f>M17</f>
        <v>0.17</v>
      </c>
      <c r="N106" s="87">
        <f t="shared" ref="N106:Y106" si="28">N17</f>
        <v>0.13</v>
      </c>
      <c r="O106" s="87">
        <f t="shared" si="28"/>
        <v>0</v>
      </c>
      <c r="P106" s="87">
        <f t="shared" si="28"/>
        <v>1.52</v>
      </c>
      <c r="Q106" s="87">
        <f t="shared" si="28"/>
        <v>0.16</v>
      </c>
      <c r="R106" s="87">
        <f t="shared" si="28"/>
        <v>241.2</v>
      </c>
      <c r="S106" s="87">
        <f t="shared" si="28"/>
        <v>29.2</v>
      </c>
      <c r="T106" s="87">
        <f t="shared" si="28"/>
        <v>0.48</v>
      </c>
      <c r="U106" s="87">
        <f t="shared" si="28"/>
        <v>16</v>
      </c>
      <c r="V106" s="87">
        <f t="shared" si="28"/>
        <v>50</v>
      </c>
      <c r="W106" s="87">
        <f t="shared" si="28"/>
        <v>1.1299999999999999</v>
      </c>
      <c r="X106" s="87">
        <f t="shared" si="28"/>
        <v>0</v>
      </c>
      <c r="Y106" s="87">
        <f t="shared" si="28"/>
        <v>12.36</v>
      </c>
    </row>
    <row r="107" spans="1:25" s="120" customFormat="1" ht="22.05" customHeight="1" x14ac:dyDescent="0.3">
      <c r="A107" s="20"/>
      <c r="B107" s="306"/>
      <c r="C107" s="280" t="s">
        <v>12</v>
      </c>
      <c r="D107" s="280"/>
      <c r="E107" s="51">
        <v>200</v>
      </c>
      <c r="F107" s="52">
        <v>2.6</v>
      </c>
      <c r="G107" s="52">
        <v>2.6</v>
      </c>
      <c r="H107" s="52">
        <v>16.8</v>
      </c>
      <c r="I107" s="52">
        <v>100.4</v>
      </c>
      <c r="J107" s="53" t="s">
        <v>11</v>
      </c>
      <c r="K107" s="145">
        <v>15.71</v>
      </c>
      <c r="L107" s="145"/>
      <c r="M107" s="119">
        <v>0</v>
      </c>
      <c r="N107" s="119">
        <v>0.13</v>
      </c>
      <c r="O107" s="119">
        <v>9.6</v>
      </c>
      <c r="P107" s="119">
        <v>0.12</v>
      </c>
      <c r="Q107" s="119">
        <v>0</v>
      </c>
      <c r="R107" s="119">
        <v>50</v>
      </c>
      <c r="S107" s="119">
        <v>199</v>
      </c>
      <c r="T107" s="119">
        <v>108</v>
      </c>
      <c r="U107" s="119">
        <v>26</v>
      </c>
      <c r="V107" s="119">
        <v>95</v>
      </c>
      <c r="W107" s="119">
        <v>1</v>
      </c>
      <c r="X107" s="119">
        <v>2.7</v>
      </c>
      <c r="Y107" s="119">
        <v>1</v>
      </c>
    </row>
    <row r="108" spans="1:25" s="48" customFormat="1" ht="22.05" customHeight="1" x14ac:dyDescent="0.3">
      <c r="A108" s="20"/>
      <c r="B108" s="84"/>
      <c r="C108" s="297" t="s">
        <v>108</v>
      </c>
      <c r="D108" s="297"/>
      <c r="E108" s="45">
        <f>SUM(E102:E107)</f>
        <v>690</v>
      </c>
      <c r="F108" s="58">
        <f>SUM(F102:F107)</f>
        <v>27.21</v>
      </c>
      <c r="G108" s="58">
        <f>SUM(G102:G107)</f>
        <v>24.740000000000002</v>
      </c>
      <c r="H108" s="58">
        <f>SUM(H102:H107)</f>
        <v>104.25</v>
      </c>
      <c r="I108" s="58">
        <f>SUM(I102:I107)</f>
        <v>737.64</v>
      </c>
      <c r="J108" s="45"/>
      <c r="K108" s="58">
        <f>SUM(K102:K107)</f>
        <v>111.75</v>
      </c>
      <c r="L108" s="145"/>
      <c r="M108" s="109">
        <f t="shared" ref="M108:Y108" si="29">SUM(M102:M107)</f>
        <v>0.64500000000000002</v>
      </c>
      <c r="N108" s="109">
        <f t="shared" si="29"/>
        <v>0.6462500000000001</v>
      </c>
      <c r="O108" s="109">
        <f t="shared" si="29"/>
        <v>49.2</v>
      </c>
      <c r="P108" s="109">
        <f t="shared" si="29"/>
        <v>6.87</v>
      </c>
      <c r="Q108" s="109">
        <f t="shared" si="29"/>
        <v>21.230000000000004</v>
      </c>
      <c r="R108" s="109">
        <f t="shared" si="29"/>
        <v>1195.7</v>
      </c>
      <c r="S108" s="109">
        <f t="shared" si="29"/>
        <v>1966.03</v>
      </c>
      <c r="T108" s="109">
        <f t="shared" si="29"/>
        <v>241.6</v>
      </c>
      <c r="U108" s="109">
        <f t="shared" si="29"/>
        <v>177.5</v>
      </c>
      <c r="V108" s="109">
        <f t="shared" si="29"/>
        <v>408.83</v>
      </c>
      <c r="W108" s="109">
        <f t="shared" si="29"/>
        <v>6.6</v>
      </c>
      <c r="X108" s="109">
        <f t="shared" si="29"/>
        <v>193.2</v>
      </c>
      <c r="Y108" s="109">
        <f t="shared" si="29"/>
        <v>41.53</v>
      </c>
    </row>
    <row r="109" spans="1:25" s="202" customFormat="1" ht="22.05" customHeight="1" x14ac:dyDescent="0.3">
      <c r="A109" s="20"/>
      <c r="B109" s="39"/>
      <c r="C109" s="40"/>
      <c r="D109" s="40"/>
      <c r="E109" s="197"/>
      <c r="F109" s="97"/>
      <c r="G109" s="97"/>
      <c r="H109" s="97"/>
      <c r="I109" s="97"/>
      <c r="J109" s="197"/>
      <c r="K109" s="97"/>
      <c r="L109" s="97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</row>
    <row r="110" spans="1:25" s="202" customFormat="1" ht="22.05" customHeight="1" x14ac:dyDescent="0.3">
      <c r="A110" s="20"/>
      <c r="B110" s="39"/>
      <c r="C110" s="40"/>
      <c r="D110" s="40"/>
      <c r="E110" s="197"/>
      <c r="F110" s="97"/>
      <c r="G110" s="97"/>
      <c r="H110" s="97"/>
      <c r="I110" s="97"/>
      <c r="J110" s="197"/>
      <c r="K110" s="97"/>
      <c r="L110" s="97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</row>
    <row r="111" spans="1:25" s="48" customFormat="1" ht="22.05" customHeight="1" x14ac:dyDescent="0.3">
      <c r="A111" s="20"/>
      <c r="B111" s="252" t="s">
        <v>62</v>
      </c>
      <c r="C111" s="252"/>
      <c r="D111" s="252"/>
      <c r="E111" s="252"/>
      <c r="F111" s="252"/>
      <c r="G111" s="252"/>
      <c r="H111" s="252"/>
      <c r="I111" s="252"/>
      <c r="J111" s="252"/>
      <c r="K111" s="252"/>
      <c r="L111" s="159"/>
      <c r="M111" s="237"/>
      <c r="N111" s="237"/>
      <c r="O111" s="237"/>
      <c r="P111" s="237"/>
      <c r="Q111" s="237"/>
      <c r="R111" s="237"/>
      <c r="S111" s="237"/>
      <c r="T111" s="237"/>
      <c r="U111" s="237"/>
      <c r="V111" s="237"/>
      <c r="W111" s="237"/>
      <c r="X111" s="237"/>
      <c r="Y111" s="237"/>
    </row>
    <row r="112" spans="1:25" s="48" customFormat="1" ht="22.05" customHeight="1" x14ac:dyDescent="0.3">
      <c r="A112" s="20"/>
      <c r="B112" s="303" t="s">
        <v>73</v>
      </c>
      <c r="C112" s="252" t="s">
        <v>1</v>
      </c>
      <c r="D112" s="252"/>
      <c r="E112" s="303" t="s">
        <v>74</v>
      </c>
      <c r="F112" s="252" t="s">
        <v>3</v>
      </c>
      <c r="G112" s="252"/>
      <c r="H112" s="252"/>
      <c r="I112" s="303" t="s">
        <v>145</v>
      </c>
      <c r="J112" s="252" t="s">
        <v>75</v>
      </c>
      <c r="K112" s="252" t="s">
        <v>185</v>
      </c>
      <c r="L112" s="155"/>
      <c r="M112" s="237" t="s">
        <v>159</v>
      </c>
      <c r="N112" s="237"/>
      <c r="O112" s="237"/>
      <c r="P112" s="237"/>
      <c r="Q112" s="237"/>
      <c r="R112" s="237"/>
      <c r="S112" s="237"/>
      <c r="T112" s="237"/>
      <c r="U112" s="237"/>
      <c r="V112" s="237"/>
      <c r="W112" s="237"/>
      <c r="X112" s="237"/>
      <c r="Y112" s="237"/>
    </row>
    <row r="113" spans="1:25" s="48" customFormat="1" ht="40.200000000000003" customHeight="1" x14ac:dyDescent="0.3">
      <c r="A113" s="20"/>
      <c r="B113" s="303"/>
      <c r="C113" s="252"/>
      <c r="D113" s="252"/>
      <c r="E113" s="303"/>
      <c r="F113" s="160" t="s">
        <v>142</v>
      </c>
      <c r="G113" s="160" t="s">
        <v>143</v>
      </c>
      <c r="H113" s="160" t="s">
        <v>144</v>
      </c>
      <c r="I113" s="303"/>
      <c r="J113" s="252"/>
      <c r="K113" s="252"/>
      <c r="L113" s="156"/>
      <c r="M113" s="238" t="s">
        <v>83</v>
      </c>
      <c r="N113" s="238"/>
      <c r="O113" s="238"/>
      <c r="P113" s="238"/>
      <c r="Q113" s="238"/>
      <c r="R113" s="238"/>
      <c r="S113" s="238"/>
      <c r="T113" s="238"/>
      <c r="U113" s="238"/>
      <c r="V113" s="238"/>
      <c r="W113" s="238"/>
      <c r="X113" s="238"/>
      <c r="Y113" s="238"/>
    </row>
    <row r="114" spans="1:25" s="48" customFormat="1" ht="22.05" customHeight="1" x14ac:dyDescent="0.3">
      <c r="A114" s="20"/>
      <c r="B114" s="301" t="s">
        <v>83</v>
      </c>
      <c r="C114" s="301"/>
      <c r="D114" s="301"/>
      <c r="E114" s="301"/>
      <c r="F114" s="301"/>
      <c r="G114" s="301"/>
      <c r="H114" s="301"/>
      <c r="I114" s="301"/>
      <c r="J114" s="301"/>
      <c r="K114" s="301"/>
      <c r="L114" s="153"/>
      <c r="M114" s="86" t="s">
        <v>146</v>
      </c>
      <c r="N114" s="86" t="s">
        <v>147</v>
      </c>
      <c r="O114" s="86" t="s">
        <v>148</v>
      </c>
      <c r="P114" s="86" t="s">
        <v>150</v>
      </c>
      <c r="Q114" s="86" t="s">
        <v>149</v>
      </c>
      <c r="R114" s="86" t="s">
        <v>151</v>
      </c>
      <c r="S114" s="86" t="s">
        <v>152</v>
      </c>
      <c r="T114" s="86" t="s">
        <v>153</v>
      </c>
      <c r="U114" s="86" t="s">
        <v>154</v>
      </c>
      <c r="V114" s="86" t="s">
        <v>155</v>
      </c>
      <c r="W114" s="86" t="s">
        <v>156</v>
      </c>
      <c r="X114" s="86" t="s">
        <v>157</v>
      </c>
      <c r="Y114" s="86" t="s">
        <v>158</v>
      </c>
    </row>
    <row r="115" spans="1:25" s="120" customFormat="1" ht="22.05" customHeight="1" x14ac:dyDescent="0.3">
      <c r="A115" s="20"/>
      <c r="B115" s="302"/>
      <c r="C115" s="248" t="s">
        <v>197</v>
      </c>
      <c r="D115" s="249"/>
      <c r="E115" s="51">
        <v>70</v>
      </c>
      <c r="F115" s="52">
        <v>0.57999999999999996</v>
      </c>
      <c r="G115" s="52">
        <v>0</v>
      </c>
      <c r="H115" s="52">
        <v>2.1</v>
      </c>
      <c r="I115" s="52">
        <v>10.62</v>
      </c>
      <c r="J115" s="134" t="s">
        <v>198</v>
      </c>
      <c r="K115" s="145">
        <v>28.29</v>
      </c>
      <c r="L115" s="145"/>
      <c r="M115" s="119">
        <v>0.02</v>
      </c>
      <c r="N115" s="119">
        <v>0.02</v>
      </c>
      <c r="O115" s="119">
        <v>7</v>
      </c>
      <c r="P115" s="119">
        <v>0.14000000000000001</v>
      </c>
      <c r="Q115" s="119">
        <v>7</v>
      </c>
      <c r="R115" s="119">
        <v>5.8</v>
      </c>
      <c r="S115" s="119">
        <v>99.2</v>
      </c>
      <c r="T115" s="119">
        <v>16.3</v>
      </c>
      <c r="U115" s="119">
        <v>9.3000000000000007</v>
      </c>
      <c r="V115" s="119">
        <v>29.2</v>
      </c>
      <c r="W115" s="119">
        <v>1.2</v>
      </c>
      <c r="X115" s="119">
        <v>2.1</v>
      </c>
      <c r="Y115" s="119">
        <v>0</v>
      </c>
    </row>
    <row r="116" spans="1:25" s="48" customFormat="1" ht="22.05" customHeight="1" x14ac:dyDescent="0.3">
      <c r="A116" s="20"/>
      <c r="B116" s="302"/>
      <c r="C116" s="280" t="s">
        <v>20</v>
      </c>
      <c r="D116" s="280"/>
      <c r="E116" s="51">
        <v>220</v>
      </c>
      <c r="F116" s="52">
        <v>7.3</v>
      </c>
      <c r="G116" s="52">
        <v>7.8</v>
      </c>
      <c r="H116" s="52">
        <v>51.3</v>
      </c>
      <c r="I116" s="52">
        <v>305.10000000000002</v>
      </c>
      <c r="J116" s="53" t="s">
        <v>19</v>
      </c>
      <c r="K116" s="145">
        <v>10.5</v>
      </c>
      <c r="L116" s="145"/>
      <c r="M116" s="87">
        <v>0.09</v>
      </c>
      <c r="N116" s="87">
        <v>0.04</v>
      </c>
      <c r="O116" s="87">
        <v>29</v>
      </c>
      <c r="P116" s="87">
        <v>0.7</v>
      </c>
      <c r="Q116" s="87">
        <v>0</v>
      </c>
      <c r="R116" s="87">
        <v>282</v>
      </c>
      <c r="S116" s="87">
        <v>10</v>
      </c>
      <c r="T116" s="87">
        <v>87</v>
      </c>
      <c r="U116" s="87">
        <v>10</v>
      </c>
      <c r="V116" s="87">
        <v>59</v>
      </c>
      <c r="W116" s="87">
        <v>1</v>
      </c>
      <c r="X116" s="87">
        <v>29</v>
      </c>
      <c r="Y116" s="87">
        <v>0.1</v>
      </c>
    </row>
    <row r="117" spans="1:25" s="48" customFormat="1" ht="30" customHeight="1" x14ac:dyDescent="0.3">
      <c r="A117" s="20"/>
      <c r="B117" s="302"/>
      <c r="C117" s="248" t="s">
        <v>217</v>
      </c>
      <c r="D117" s="249"/>
      <c r="E117" s="51">
        <v>130</v>
      </c>
      <c r="F117" s="52">
        <v>15</v>
      </c>
      <c r="G117" s="52">
        <v>12.3</v>
      </c>
      <c r="H117" s="52">
        <v>7</v>
      </c>
      <c r="I117" s="52">
        <v>207.9</v>
      </c>
      <c r="J117" s="134" t="s">
        <v>218</v>
      </c>
      <c r="K117" s="145">
        <v>60.16</v>
      </c>
      <c r="L117" s="145"/>
      <c r="M117" s="87">
        <v>7.0000000000000007E-2</v>
      </c>
      <c r="N117" s="87">
        <v>0.16</v>
      </c>
      <c r="O117" s="87">
        <v>35.76</v>
      </c>
      <c r="P117" s="87">
        <v>1.9</v>
      </c>
      <c r="Q117" s="87">
        <v>0.55000000000000004</v>
      </c>
      <c r="R117" s="87">
        <v>268.89999999999998</v>
      </c>
      <c r="S117" s="87">
        <v>282.2</v>
      </c>
      <c r="T117" s="87">
        <v>40.130000000000003</v>
      </c>
      <c r="U117" s="87">
        <v>31.28</v>
      </c>
      <c r="V117" s="87">
        <v>163.78</v>
      </c>
      <c r="W117" s="87">
        <v>1.67</v>
      </c>
      <c r="X117" s="87">
        <v>29.7</v>
      </c>
      <c r="Y117" s="87">
        <v>1.6</v>
      </c>
    </row>
    <row r="118" spans="1:25" s="48" customFormat="1" ht="22.05" customHeight="1" x14ac:dyDescent="0.3">
      <c r="A118" s="20"/>
      <c r="B118" s="302"/>
      <c r="C118" s="280" t="s">
        <v>114</v>
      </c>
      <c r="D118" s="280"/>
      <c r="E118" s="51">
        <v>40</v>
      </c>
      <c r="F118" s="52">
        <f>F16/100*40</f>
        <v>3.04</v>
      </c>
      <c r="G118" s="52">
        <f t="shared" ref="G118:I118" si="30">G16/100*40</f>
        <v>0.36000000000000004</v>
      </c>
      <c r="H118" s="52">
        <f t="shared" si="30"/>
        <v>19.880000000000003</v>
      </c>
      <c r="I118" s="52">
        <f t="shared" si="30"/>
        <v>90.399999999999991</v>
      </c>
      <c r="J118" s="51" t="s">
        <v>63</v>
      </c>
      <c r="K118" s="145">
        <v>3.18</v>
      </c>
      <c r="L118" s="145"/>
      <c r="M118" s="87">
        <f>M16</f>
        <v>0.16400000000000001</v>
      </c>
      <c r="N118" s="87">
        <f t="shared" ref="N118:Y118" si="31">N16</f>
        <v>0.10100000000000001</v>
      </c>
      <c r="O118" s="87">
        <f t="shared" si="31"/>
        <v>0</v>
      </c>
      <c r="P118" s="87">
        <f t="shared" si="31"/>
        <v>2.2400000000000002</v>
      </c>
      <c r="Q118" s="87">
        <f t="shared" si="31"/>
        <v>0.08</v>
      </c>
      <c r="R118" s="87">
        <f t="shared" si="31"/>
        <v>189.2</v>
      </c>
      <c r="S118" s="87">
        <f t="shared" si="31"/>
        <v>50</v>
      </c>
      <c r="T118" s="87">
        <f t="shared" si="31"/>
        <v>1.96</v>
      </c>
      <c r="U118" s="87">
        <f t="shared" si="31"/>
        <v>16.399999999999999</v>
      </c>
      <c r="V118" s="87">
        <f t="shared" si="31"/>
        <v>51.6</v>
      </c>
      <c r="W118" s="87">
        <f t="shared" si="31"/>
        <v>1.44</v>
      </c>
      <c r="X118" s="87">
        <f t="shared" si="31"/>
        <v>0</v>
      </c>
      <c r="Y118" s="87">
        <f t="shared" si="31"/>
        <v>11.52</v>
      </c>
    </row>
    <row r="119" spans="1:25" s="48" customFormat="1" ht="22.05" customHeight="1" x14ac:dyDescent="0.3">
      <c r="A119" s="20"/>
      <c r="B119" s="302"/>
      <c r="C119" s="280" t="s">
        <v>118</v>
      </c>
      <c r="D119" s="280"/>
      <c r="E119" s="51">
        <v>40</v>
      </c>
      <c r="F119" s="52">
        <f>F17/100*40</f>
        <v>1.88</v>
      </c>
      <c r="G119" s="52">
        <f t="shared" ref="G119:I119" si="32">G17/100*40</f>
        <v>0.27999999999999997</v>
      </c>
      <c r="H119" s="52">
        <f t="shared" si="32"/>
        <v>19.920000000000002</v>
      </c>
      <c r="I119" s="52">
        <f t="shared" si="32"/>
        <v>85.600000000000009</v>
      </c>
      <c r="J119" s="51" t="s">
        <v>63</v>
      </c>
      <c r="K119" s="145">
        <v>2.5499999999999998</v>
      </c>
      <c r="L119" s="145"/>
      <c r="M119" s="87">
        <f>M17</f>
        <v>0.17</v>
      </c>
      <c r="N119" s="87">
        <f t="shared" ref="N119:Y119" si="33">N17</f>
        <v>0.13</v>
      </c>
      <c r="O119" s="87">
        <f t="shared" si="33"/>
        <v>0</v>
      </c>
      <c r="P119" s="87">
        <f t="shared" si="33"/>
        <v>1.52</v>
      </c>
      <c r="Q119" s="87">
        <f t="shared" si="33"/>
        <v>0.16</v>
      </c>
      <c r="R119" s="87">
        <f t="shared" si="33"/>
        <v>241.2</v>
      </c>
      <c r="S119" s="87">
        <f t="shared" si="33"/>
        <v>29.2</v>
      </c>
      <c r="T119" s="87">
        <f t="shared" si="33"/>
        <v>0.48</v>
      </c>
      <c r="U119" s="87">
        <f t="shared" si="33"/>
        <v>16</v>
      </c>
      <c r="V119" s="87">
        <f t="shared" si="33"/>
        <v>50</v>
      </c>
      <c r="W119" s="87">
        <f t="shared" si="33"/>
        <v>1.1299999999999999</v>
      </c>
      <c r="X119" s="87">
        <f t="shared" si="33"/>
        <v>0</v>
      </c>
      <c r="Y119" s="87">
        <f t="shared" si="33"/>
        <v>12.36</v>
      </c>
    </row>
    <row r="120" spans="1:25" s="48" customFormat="1" ht="22.05" customHeight="1" x14ac:dyDescent="0.3">
      <c r="A120" s="20"/>
      <c r="B120" s="302"/>
      <c r="C120" s="280" t="s">
        <v>18</v>
      </c>
      <c r="D120" s="280"/>
      <c r="E120" s="51">
        <v>200</v>
      </c>
      <c r="F120" s="52">
        <v>0.3</v>
      </c>
      <c r="G120" s="52">
        <v>0</v>
      </c>
      <c r="H120" s="52">
        <v>6.7</v>
      </c>
      <c r="I120" s="52">
        <v>27.6</v>
      </c>
      <c r="J120" s="53" t="s">
        <v>17</v>
      </c>
      <c r="K120" s="145">
        <v>3.25</v>
      </c>
      <c r="L120" s="152"/>
      <c r="M120" s="87">
        <v>0</v>
      </c>
      <c r="N120" s="87">
        <v>0.1</v>
      </c>
      <c r="O120" s="87">
        <v>0</v>
      </c>
      <c r="P120" s="87">
        <v>7.0000000000000007E-2</v>
      </c>
      <c r="Q120" s="87">
        <v>1</v>
      </c>
      <c r="R120" s="87">
        <v>2</v>
      </c>
      <c r="S120" s="87">
        <v>36</v>
      </c>
      <c r="T120" s="87">
        <v>6</v>
      </c>
      <c r="U120" s="87">
        <v>5</v>
      </c>
      <c r="V120" s="87">
        <v>8</v>
      </c>
      <c r="W120" s="87">
        <v>1</v>
      </c>
      <c r="X120" s="87">
        <v>0</v>
      </c>
      <c r="Y120" s="87">
        <v>0</v>
      </c>
    </row>
    <row r="121" spans="1:25" s="48" customFormat="1" ht="22.05" customHeight="1" x14ac:dyDescent="0.3">
      <c r="A121" s="14"/>
      <c r="B121" s="44"/>
      <c r="C121" s="297" t="s">
        <v>108</v>
      </c>
      <c r="D121" s="297"/>
      <c r="E121" s="45">
        <f>SUM(E115:E120)</f>
        <v>700</v>
      </c>
      <c r="F121" s="58">
        <f>SUM(F115:F120)</f>
        <v>28.099999999999998</v>
      </c>
      <c r="G121" s="58">
        <f>SUM(G115:G120)</f>
        <v>20.740000000000002</v>
      </c>
      <c r="H121" s="58">
        <f>SUM(H115:H120)</f>
        <v>106.9</v>
      </c>
      <c r="I121" s="58">
        <f>SUM(I115:I120)</f>
        <v>727.22</v>
      </c>
      <c r="J121" s="58"/>
      <c r="K121" s="58">
        <f>SUM(K115:K120)</f>
        <v>107.92999999999999</v>
      </c>
      <c r="L121" s="145"/>
      <c r="M121" s="109">
        <f t="shared" ref="M121:Y121" si="34">SUM(M115:M120)</f>
        <v>0.51400000000000001</v>
      </c>
      <c r="N121" s="109">
        <f t="shared" si="34"/>
        <v>0.55100000000000005</v>
      </c>
      <c r="O121" s="109">
        <f t="shared" si="34"/>
        <v>71.759999999999991</v>
      </c>
      <c r="P121" s="109">
        <f t="shared" si="34"/>
        <v>6.57</v>
      </c>
      <c r="Q121" s="109">
        <f t="shared" si="34"/>
        <v>8.7899999999999991</v>
      </c>
      <c r="R121" s="109">
        <f t="shared" si="34"/>
        <v>989.10000000000014</v>
      </c>
      <c r="S121" s="109">
        <f t="shared" si="34"/>
        <v>506.59999999999997</v>
      </c>
      <c r="T121" s="109">
        <f t="shared" si="34"/>
        <v>151.87</v>
      </c>
      <c r="U121" s="109">
        <f t="shared" si="34"/>
        <v>87.97999999999999</v>
      </c>
      <c r="V121" s="109">
        <f t="shared" si="34"/>
        <v>361.58000000000004</v>
      </c>
      <c r="W121" s="109">
        <f t="shared" si="34"/>
        <v>7.44</v>
      </c>
      <c r="X121" s="109">
        <f t="shared" si="34"/>
        <v>60.8</v>
      </c>
      <c r="Y121" s="109">
        <f t="shared" si="34"/>
        <v>25.58</v>
      </c>
    </row>
    <row r="122" spans="1:25" s="50" customFormat="1" ht="22.05" customHeight="1" x14ac:dyDescent="0.3">
      <c r="A122" s="14"/>
      <c r="B122" s="36"/>
      <c r="C122" s="92"/>
      <c r="D122" s="92"/>
      <c r="E122" s="14"/>
      <c r="F122" s="37"/>
      <c r="G122" s="37"/>
      <c r="H122" s="37"/>
      <c r="I122" s="37"/>
      <c r="J122" s="14"/>
      <c r="K122" s="65"/>
      <c r="L122" s="65"/>
    </row>
    <row r="123" spans="1:25" s="50" customFormat="1" ht="22.05" customHeight="1" x14ac:dyDescent="0.3">
      <c r="A123" s="14"/>
      <c r="B123" s="36"/>
      <c r="C123" s="14"/>
      <c r="D123" s="14"/>
      <c r="E123" s="37"/>
      <c r="F123" s="37"/>
      <c r="G123" s="37"/>
      <c r="H123" s="37"/>
      <c r="I123" s="37"/>
      <c r="J123" s="14"/>
      <c r="K123" s="65"/>
      <c r="L123" s="65"/>
    </row>
    <row r="124" spans="1:25" s="48" customFormat="1" ht="22.05" customHeight="1" x14ac:dyDescent="0.3">
      <c r="A124" s="20"/>
      <c r="B124" s="252" t="s">
        <v>62</v>
      </c>
      <c r="C124" s="252"/>
      <c r="D124" s="252"/>
      <c r="E124" s="252"/>
      <c r="F124" s="252"/>
      <c r="G124" s="252"/>
      <c r="H124" s="252"/>
      <c r="I124" s="252"/>
      <c r="J124" s="252"/>
      <c r="K124" s="252"/>
      <c r="L124" s="159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  <c r="X124" s="237"/>
      <c r="Y124" s="237"/>
    </row>
    <row r="125" spans="1:25" s="48" customFormat="1" ht="22.05" customHeight="1" x14ac:dyDescent="0.3">
      <c r="A125" s="20"/>
      <c r="B125" s="303" t="s">
        <v>73</v>
      </c>
      <c r="C125" s="252" t="s">
        <v>1</v>
      </c>
      <c r="D125" s="252"/>
      <c r="E125" s="303" t="s">
        <v>74</v>
      </c>
      <c r="F125" s="252" t="s">
        <v>3</v>
      </c>
      <c r="G125" s="252"/>
      <c r="H125" s="252"/>
      <c r="I125" s="303" t="s">
        <v>145</v>
      </c>
      <c r="J125" s="252" t="s">
        <v>75</v>
      </c>
      <c r="K125" s="252" t="s">
        <v>185</v>
      </c>
      <c r="L125" s="155"/>
      <c r="M125" s="237" t="s">
        <v>159</v>
      </c>
      <c r="N125" s="237"/>
      <c r="O125" s="237"/>
      <c r="P125" s="237"/>
      <c r="Q125" s="237"/>
      <c r="R125" s="237"/>
      <c r="S125" s="237"/>
      <c r="T125" s="237"/>
      <c r="U125" s="237"/>
      <c r="V125" s="237"/>
      <c r="W125" s="237"/>
      <c r="X125" s="237"/>
      <c r="Y125" s="237"/>
    </row>
    <row r="126" spans="1:25" s="48" customFormat="1" ht="43.8" customHeight="1" x14ac:dyDescent="0.3">
      <c r="A126" s="20"/>
      <c r="B126" s="303"/>
      <c r="C126" s="252"/>
      <c r="D126" s="252"/>
      <c r="E126" s="303"/>
      <c r="F126" s="160" t="s">
        <v>142</v>
      </c>
      <c r="G126" s="160" t="s">
        <v>143</v>
      </c>
      <c r="H126" s="160" t="s">
        <v>144</v>
      </c>
      <c r="I126" s="303"/>
      <c r="J126" s="252"/>
      <c r="K126" s="252"/>
      <c r="L126" s="156"/>
      <c r="M126" s="238" t="s">
        <v>84</v>
      </c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</row>
    <row r="127" spans="1:25" s="50" customFormat="1" ht="22.05" customHeight="1" x14ac:dyDescent="0.3">
      <c r="A127" s="14"/>
      <c r="B127" s="301" t="s">
        <v>84</v>
      </c>
      <c r="C127" s="301"/>
      <c r="D127" s="301"/>
      <c r="E127" s="301"/>
      <c r="F127" s="301"/>
      <c r="G127" s="301"/>
      <c r="H127" s="301"/>
      <c r="I127" s="301"/>
      <c r="J127" s="301"/>
      <c r="K127" s="301"/>
      <c r="L127" s="153"/>
      <c r="M127" s="85" t="s">
        <v>146</v>
      </c>
      <c r="N127" s="85" t="s">
        <v>147</v>
      </c>
      <c r="O127" s="85" t="s">
        <v>148</v>
      </c>
      <c r="P127" s="85" t="s">
        <v>150</v>
      </c>
      <c r="Q127" s="85" t="s">
        <v>149</v>
      </c>
      <c r="R127" s="85" t="s">
        <v>151</v>
      </c>
      <c r="S127" s="85" t="s">
        <v>152</v>
      </c>
      <c r="T127" s="85" t="s">
        <v>153</v>
      </c>
      <c r="U127" s="85" t="s">
        <v>154</v>
      </c>
      <c r="V127" s="85" t="s">
        <v>155</v>
      </c>
      <c r="W127" s="85" t="s">
        <v>156</v>
      </c>
      <c r="X127" s="85" t="s">
        <v>157</v>
      </c>
      <c r="Y127" s="85" t="s">
        <v>158</v>
      </c>
    </row>
    <row r="128" spans="1:25" s="48" customFormat="1" ht="28.2" customHeight="1" x14ac:dyDescent="0.3">
      <c r="A128" s="20"/>
      <c r="B128" s="302"/>
      <c r="C128" s="248" t="s">
        <v>199</v>
      </c>
      <c r="D128" s="249"/>
      <c r="E128" s="51">
        <v>110</v>
      </c>
      <c r="F128" s="52">
        <v>2.8</v>
      </c>
      <c r="G128" s="52">
        <v>11</v>
      </c>
      <c r="H128" s="52">
        <v>12.5</v>
      </c>
      <c r="I128" s="52">
        <v>160.19999999999999</v>
      </c>
      <c r="J128" s="53" t="s">
        <v>200</v>
      </c>
      <c r="K128" s="145">
        <v>11.06</v>
      </c>
      <c r="L128" s="145"/>
      <c r="M128" s="87">
        <v>7.0000000000000007E-2</v>
      </c>
      <c r="N128" s="87">
        <v>7.0000000000000007E-2</v>
      </c>
      <c r="O128" s="87">
        <v>175.1</v>
      </c>
      <c r="P128" s="87">
        <v>0.7</v>
      </c>
      <c r="Q128" s="87">
        <v>72</v>
      </c>
      <c r="R128" s="87">
        <v>160</v>
      </c>
      <c r="S128" s="87">
        <v>297</v>
      </c>
      <c r="T128" s="87">
        <v>77</v>
      </c>
      <c r="U128" s="87">
        <v>28</v>
      </c>
      <c r="V128" s="87">
        <v>53</v>
      </c>
      <c r="W128" s="87">
        <v>2</v>
      </c>
      <c r="X128" s="87">
        <v>19.600000000000001</v>
      </c>
      <c r="Y128" s="87">
        <v>0.4</v>
      </c>
    </row>
    <row r="129" spans="1:25" s="120" customFormat="1" ht="22.05" customHeight="1" x14ac:dyDescent="0.3">
      <c r="A129" s="20"/>
      <c r="B129" s="302"/>
      <c r="C129" s="280" t="s">
        <v>27</v>
      </c>
      <c r="D129" s="280"/>
      <c r="E129" s="51">
        <v>250</v>
      </c>
      <c r="F129" s="52">
        <v>60.59</v>
      </c>
      <c r="G129" s="52">
        <v>9.58</v>
      </c>
      <c r="H129" s="52">
        <v>16.329999999999998</v>
      </c>
      <c r="I129" s="52">
        <v>197.4</v>
      </c>
      <c r="J129" s="53" t="s">
        <v>26</v>
      </c>
      <c r="K129" s="145">
        <v>46.95</v>
      </c>
      <c r="L129" s="145"/>
      <c r="M129" s="119">
        <v>0.17</v>
      </c>
      <c r="N129" s="119">
        <v>0.3</v>
      </c>
      <c r="O129" s="119">
        <v>25</v>
      </c>
      <c r="P129" s="119">
        <v>7.3</v>
      </c>
      <c r="Q129" s="119">
        <v>13</v>
      </c>
      <c r="R129" s="119">
        <v>404.1</v>
      </c>
      <c r="S129" s="119">
        <v>1279.2</v>
      </c>
      <c r="T129" s="119">
        <v>35.6</v>
      </c>
      <c r="U129" s="119">
        <v>58.8</v>
      </c>
      <c r="V129" s="119">
        <v>368.3</v>
      </c>
      <c r="W129" s="119">
        <v>4.7</v>
      </c>
      <c r="X129" s="119">
        <v>26.1</v>
      </c>
      <c r="Y129" s="119">
        <v>0.5</v>
      </c>
    </row>
    <row r="130" spans="1:25" s="48" customFormat="1" ht="22.05" customHeight="1" x14ac:dyDescent="0.3">
      <c r="A130" s="20"/>
      <c r="B130" s="302"/>
      <c r="C130" s="280" t="s">
        <v>114</v>
      </c>
      <c r="D130" s="280"/>
      <c r="E130" s="51">
        <v>40</v>
      </c>
      <c r="F130" s="52">
        <f>F16/100*40</f>
        <v>3.04</v>
      </c>
      <c r="G130" s="52">
        <f t="shared" ref="G130:I130" si="35">G16/100*40</f>
        <v>0.36000000000000004</v>
      </c>
      <c r="H130" s="52">
        <f t="shared" si="35"/>
        <v>19.880000000000003</v>
      </c>
      <c r="I130" s="52">
        <f t="shared" si="35"/>
        <v>90.399999999999991</v>
      </c>
      <c r="J130" s="51" t="s">
        <v>63</v>
      </c>
      <c r="K130" s="145">
        <v>4</v>
      </c>
      <c r="L130" s="145"/>
      <c r="M130" s="87">
        <f>M16/40*40</f>
        <v>0.16400000000000001</v>
      </c>
      <c r="N130" s="87">
        <f t="shared" ref="N130:Y130" si="36">N16/40*40</f>
        <v>0.10100000000000001</v>
      </c>
      <c r="O130" s="87">
        <f t="shared" si="36"/>
        <v>0</v>
      </c>
      <c r="P130" s="87">
        <f t="shared" si="36"/>
        <v>2.2400000000000002</v>
      </c>
      <c r="Q130" s="87">
        <f t="shared" si="36"/>
        <v>0.08</v>
      </c>
      <c r="R130" s="87">
        <f t="shared" si="36"/>
        <v>189.2</v>
      </c>
      <c r="S130" s="87">
        <f t="shared" si="36"/>
        <v>50</v>
      </c>
      <c r="T130" s="87">
        <f t="shared" si="36"/>
        <v>1.96</v>
      </c>
      <c r="U130" s="87">
        <f t="shared" si="36"/>
        <v>16.399999999999999</v>
      </c>
      <c r="V130" s="87">
        <f t="shared" si="36"/>
        <v>51.6</v>
      </c>
      <c r="W130" s="87">
        <f t="shared" si="36"/>
        <v>1.44</v>
      </c>
      <c r="X130" s="87">
        <f t="shared" si="36"/>
        <v>0</v>
      </c>
      <c r="Y130" s="87">
        <f t="shared" si="36"/>
        <v>11.52</v>
      </c>
    </row>
    <row r="131" spans="1:25" s="48" customFormat="1" ht="22.05" customHeight="1" x14ac:dyDescent="0.3">
      <c r="A131" s="20"/>
      <c r="B131" s="302"/>
      <c r="C131" s="280" t="s">
        <v>118</v>
      </c>
      <c r="D131" s="280"/>
      <c r="E131" s="51">
        <v>29</v>
      </c>
      <c r="F131" s="52">
        <f>F17/100*29</f>
        <v>1.363</v>
      </c>
      <c r="G131" s="52">
        <f t="shared" ref="G131:I131" si="37">G17/100*29</f>
        <v>0.20299999999999999</v>
      </c>
      <c r="H131" s="52">
        <f t="shared" si="37"/>
        <v>14.442</v>
      </c>
      <c r="I131" s="52">
        <f t="shared" si="37"/>
        <v>62.06</v>
      </c>
      <c r="J131" s="51" t="s">
        <v>63</v>
      </c>
      <c r="K131" s="145">
        <v>2.73</v>
      </c>
      <c r="L131" s="145"/>
      <c r="M131" s="87">
        <f>M17/40*29</f>
        <v>0.12325000000000001</v>
      </c>
      <c r="N131" s="87">
        <f t="shared" ref="N131:Y131" si="38">N17/40*29</f>
        <v>9.4250000000000014E-2</v>
      </c>
      <c r="O131" s="87">
        <f t="shared" si="38"/>
        <v>0</v>
      </c>
      <c r="P131" s="87">
        <f t="shared" si="38"/>
        <v>1.1019999999999999</v>
      </c>
      <c r="Q131" s="87">
        <f t="shared" si="38"/>
        <v>0.11600000000000001</v>
      </c>
      <c r="R131" s="87">
        <f t="shared" si="38"/>
        <v>174.86999999999998</v>
      </c>
      <c r="S131" s="87">
        <f t="shared" si="38"/>
        <v>21.169999999999998</v>
      </c>
      <c r="T131" s="87">
        <f t="shared" si="38"/>
        <v>0.34800000000000003</v>
      </c>
      <c r="U131" s="87">
        <f t="shared" si="38"/>
        <v>11.600000000000001</v>
      </c>
      <c r="V131" s="87">
        <f t="shared" si="38"/>
        <v>36.25</v>
      </c>
      <c r="W131" s="87">
        <f t="shared" si="38"/>
        <v>0.81924999999999992</v>
      </c>
      <c r="X131" s="87">
        <f t="shared" si="38"/>
        <v>0</v>
      </c>
      <c r="Y131" s="87">
        <f t="shared" si="38"/>
        <v>8.9610000000000003</v>
      </c>
    </row>
    <row r="132" spans="1:25" s="19" customFormat="1" ht="22.05" customHeight="1" x14ac:dyDescent="0.3">
      <c r="A132" s="17"/>
      <c r="B132" s="302"/>
      <c r="C132" s="280" t="s">
        <v>8</v>
      </c>
      <c r="D132" s="280"/>
      <c r="E132" s="51">
        <v>200</v>
      </c>
      <c r="F132" s="52">
        <v>3.8</v>
      </c>
      <c r="G132" s="52">
        <v>3.5</v>
      </c>
      <c r="H132" s="52">
        <v>11.1</v>
      </c>
      <c r="I132" s="52">
        <v>90.8</v>
      </c>
      <c r="J132" s="53" t="s">
        <v>7</v>
      </c>
      <c r="K132" s="148">
        <v>12.47</v>
      </c>
      <c r="L132" s="148"/>
      <c r="M132" s="131">
        <v>0.02</v>
      </c>
      <c r="N132" s="131">
        <v>0.11</v>
      </c>
      <c r="O132" s="131">
        <v>12</v>
      </c>
      <c r="P132" s="131">
        <v>0.2</v>
      </c>
      <c r="Q132" s="131">
        <v>0</v>
      </c>
      <c r="R132" s="131">
        <v>51</v>
      </c>
      <c r="S132" s="131">
        <v>221</v>
      </c>
      <c r="T132" s="131">
        <v>112</v>
      </c>
      <c r="U132" s="131">
        <v>30</v>
      </c>
      <c r="V132" s="131">
        <v>107</v>
      </c>
      <c r="W132" s="131">
        <v>1</v>
      </c>
      <c r="X132" s="131">
        <v>9</v>
      </c>
      <c r="Y132" s="131">
        <v>1.8</v>
      </c>
    </row>
    <row r="133" spans="1:25" s="19" customFormat="1" ht="22.05" customHeight="1" x14ac:dyDescent="0.3">
      <c r="A133" s="17"/>
      <c r="B133" s="302"/>
      <c r="C133" s="280" t="s">
        <v>164</v>
      </c>
      <c r="D133" s="280"/>
      <c r="E133" s="51">
        <v>100</v>
      </c>
      <c r="F133" s="52">
        <v>2.6</v>
      </c>
      <c r="G133" s="52">
        <v>2.5</v>
      </c>
      <c r="H133" s="52">
        <v>16</v>
      </c>
      <c r="I133" s="52">
        <v>95</v>
      </c>
      <c r="J133" s="51" t="s">
        <v>63</v>
      </c>
      <c r="K133" s="145">
        <v>35</v>
      </c>
      <c r="L133" s="171"/>
      <c r="M133" s="87">
        <v>0</v>
      </c>
      <c r="N133" s="87">
        <v>0</v>
      </c>
      <c r="O133" s="87">
        <v>500</v>
      </c>
      <c r="P133" s="87">
        <v>0</v>
      </c>
      <c r="Q133" s="87">
        <v>0</v>
      </c>
      <c r="R133" s="87">
        <v>0</v>
      </c>
      <c r="S133" s="87">
        <v>0</v>
      </c>
      <c r="T133" s="87">
        <v>0</v>
      </c>
      <c r="U133" s="87">
        <v>0</v>
      </c>
      <c r="V133" s="87">
        <v>0</v>
      </c>
      <c r="W133" s="87">
        <v>0</v>
      </c>
      <c r="X133" s="87">
        <v>0</v>
      </c>
      <c r="Y133" s="87">
        <v>0</v>
      </c>
    </row>
    <row r="134" spans="1:25" s="48" customFormat="1" ht="22.05" customHeight="1" x14ac:dyDescent="0.3">
      <c r="A134" s="20"/>
      <c r="B134" s="43"/>
      <c r="C134" s="263" t="s">
        <v>108</v>
      </c>
      <c r="D134" s="264"/>
      <c r="E134" s="45">
        <f>SUM(E128:E133)</f>
        <v>729</v>
      </c>
      <c r="F134" s="45">
        <f>SUM(F128:F133)</f>
        <v>74.192999999999998</v>
      </c>
      <c r="G134" s="45">
        <f>SUM(G128:G133)</f>
        <v>27.142999999999997</v>
      </c>
      <c r="H134" s="45">
        <f>SUM(H128:H133)</f>
        <v>90.251999999999995</v>
      </c>
      <c r="I134" s="45">
        <f>SUM(I128:I133)</f>
        <v>695.86</v>
      </c>
      <c r="J134" s="74"/>
      <c r="K134" s="58">
        <f>SUM(K128:K133)</f>
        <v>112.21000000000001</v>
      </c>
      <c r="L134" s="201"/>
      <c r="M134" s="109">
        <f t="shared" ref="M134:Y134" si="39">SUM(M128:M133)</f>
        <v>0.54725000000000001</v>
      </c>
      <c r="N134" s="109">
        <f t="shared" si="39"/>
        <v>0.67525000000000002</v>
      </c>
      <c r="O134" s="109">
        <f t="shared" si="39"/>
        <v>712.1</v>
      </c>
      <c r="P134" s="109">
        <f t="shared" si="39"/>
        <v>11.542</v>
      </c>
      <c r="Q134" s="109">
        <f t="shared" si="39"/>
        <v>85.195999999999998</v>
      </c>
      <c r="R134" s="109">
        <f t="shared" si="39"/>
        <v>979.17</v>
      </c>
      <c r="S134" s="109">
        <f t="shared" si="39"/>
        <v>1868.3700000000001</v>
      </c>
      <c r="T134" s="109">
        <f t="shared" si="39"/>
        <v>226.90799999999999</v>
      </c>
      <c r="U134" s="109">
        <f t="shared" si="39"/>
        <v>144.79999999999998</v>
      </c>
      <c r="V134" s="109">
        <f t="shared" si="39"/>
        <v>616.15000000000009</v>
      </c>
      <c r="W134" s="109">
        <f t="shared" si="39"/>
        <v>9.9592500000000008</v>
      </c>
      <c r="X134" s="109">
        <f t="shared" si="39"/>
        <v>54.7</v>
      </c>
      <c r="Y134" s="109">
        <f t="shared" si="39"/>
        <v>23.181000000000001</v>
      </c>
    </row>
    <row r="135" spans="1:25" s="50" customFormat="1" ht="22.05" customHeight="1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65"/>
      <c r="L135" s="65"/>
    </row>
    <row r="136" spans="1:25" s="48" customFormat="1" ht="22.05" customHeight="1" x14ac:dyDescent="0.3">
      <c r="A136" s="20"/>
      <c r="B136" s="252" t="s">
        <v>62</v>
      </c>
      <c r="C136" s="252"/>
      <c r="D136" s="252"/>
      <c r="E136" s="252"/>
      <c r="F136" s="252"/>
      <c r="G136" s="252"/>
      <c r="H136" s="252"/>
      <c r="I136" s="252"/>
      <c r="J136" s="252"/>
      <c r="K136" s="252"/>
      <c r="L136" s="159"/>
      <c r="M136" s="237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</row>
    <row r="137" spans="1:25" s="48" customFormat="1" ht="22.05" customHeight="1" x14ac:dyDescent="0.3">
      <c r="A137" s="20"/>
      <c r="B137" s="303" t="s">
        <v>73</v>
      </c>
      <c r="C137" s="252" t="s">
        <v>1</v>
      </c>
      <c r="D137" s="252"/>
      <c r="E137" s="303" t="s">
        <v>74</v>
      </c>
      <c r="F137" s="252" t="s">
        <v>3</v>
      </c>
      <c r="G137" s="252"/>
      <c r="H137" s="252"/>
      <c r="I137" s="303" t="s">
        <v>145</v>
      </c>
      <c r="J137" s="252" t="s">
        <v>75</v>
      </c>
      <c r="K137" s="252" t="s">
        <v>185</v>
      </c>
      <c r="L137" s="157"/>
      <c r="M137" s="250" t="s">
        <v>159</v>
      </c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</row>
    <row r="138" spans="1:25" s="48" customFormat="1" ht="42.6" customHeight="1" x14ac:dyDescent="0.3">
      <c r="A138" s="20"/>
      <c r="B138" s="303"/>
      <c r="C138" s="252"/>
      <c r="D138" s="252"/>
      <c r="E138" s="303"/>
      <c r="F138" s="160" t="s">
        <v>142</v>
      </c>
      <c r="G138" s="160" t="s">
        <v>143</v>
      </c>
      <c r="H138" s="160" t="s">
        <v>144</v>
      </c>
      <c r="I138" s="303"/>
      <c r="J138" s="252"/>
      <c r="K138" s="252"/>
      <c r="L138" s="158"/>
      <c r="M138" s="251" t="s">
        <v>87</v>
      </c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</row>
    <row r="139" spans="1:25" s="48" customFormat="1" ht="22.05" customHeight="1" x14ac:dyDescent="0.3">
      <c r="A139" s="20"/>
      <c r="B139" s="301" t="s">
        <v>87</v>
      </c>
      <c r="C139" s="301"/>
      <c r="D139" s="301"/>
      <c r="E139" s="301"/>
      <c r="F139" s="301"/>
      <c r="G139" s="301"/>
      <c r="H139" s="301"/>
      <c r="I139" s="301"/>
      <c r="J139" s="301"/>
      <c r="K139" s="301"/>
      <c r="L139" s="153"/>
      <c r="M139" s="139" t="s">
        <v>146</v>
      </c>
      <c r="N139" s="86" t="s">
        <v>147</v>
      </c>
      <c r="O139" s="86" t="s">
        <v>148</v>
      </c>
      <c r="P139" s="86" t="s">
        <v>150</v>
      </c>
      <c r="Q139" s="86" t="s">
        <v>149</v>
      </c>
      <c r="R139" s="86" t="s">
        <v>151</v>
      </c>
      <c r="S139" s="86" t="s">
        <v>152</v>
      </c>
      <c r="T139" s="86" t="s">
        <v>153</v>
      </c>
      <c r="U139" s="86" t="s">
        <v>154</v>
      </c>
      <c r="V139" s="86" t="s">
        <v>155</v>
      </c>
      <c r="W139" s="86" t="s">
        <v>156</v>
      </c>
      <c r="X139" s="86" t="s">
        <v>157</v>
      </c>
      <c r="Y139" s="86" t="s">
        <v>158</v>
      </c>
    </row>
    <row r="140" spans="1:25" s="120" customFormat="1" ht="22.05" customHeight="1" x14ac:dyDescent="0.3">
      <c r="A140" s="20"/>
      <c r="B140" s="306"/>
      <c r="C140" s="248" t="s">
        <v>215</v>
      </c>
      <c r="D140" s="249"/>
      <c r="E140" s="51">
        <v>120</v>
      </c>
      <c r="F140" s="52">
        <v>1.2</v>
      </c>
      <c r="G140" s="52">
        <v>5.4</v>
      </c>
      <c r="H140" s="52">
        <v>17.399999999999999</v>
      </c>
      <c r="I140" s="52">
        <v>120</v>
      </c>
      <c r="J140" s="53">
        <v>10</v>
      </c>
      <c r="K140" s="145">
        <v>8.32</v>
      </c>
      <c r="L140" s="145"/>
      <c r="M140" s="119">
        <v>0.05</v>
      </c>
      <c r="N140" s="119">
        <v>0.06</v>
      </c>
      <c r="O140" s="119">
        <v>0</v>
      </c>
      <c r="P140" s="119">
        <v>0</v>
      </c>
      <c r="Q140" s="119">
        <v>2.0699999999999998</v>
      </c>
      <c r="R140" s="119">
        <v>0</v>
      </c>
      <c r="S140" s="119">
        <v>0</v>
      </c>
      <c r="T140" s="119">
        <v>24.84</v>
      </c>
      <c r="U140" s="119">
        <v>34.130000000000003</v>
      </c>
      <c r="V140" s="119">
        <v>49.49</v>
      </c>
      <c r="W140" s="119">
        <v>0.66</v>
      </c>
      <c r="X140" s="119">
        <v>0</v>
      </c>
      <c r="Y140" s="119">
        <v>0</v>
      </c>
    </row>
    <row r="141" spans="1:25" s="120" customFormat="1" ht="22.05" customHeight="1" x14ac:dyDescent="0.3">
      <c r="B141" s="306"/>
      <c r="C141" s="288" t="s">
        <v>30</v>
      </c>
      <c r="D141" s="289"/>
      <c r="E141" s="121">
        <v>200</v>
      </c>
      <c r="F141" s="122">
        <v>4.8</v>
      </c>
      <c r="G141" s="122">
        <v>7</v>
      </c>
      <c r="H141" s="122">
        <v>50.7</v>
      </c>
      <c r="I141" s="122">
        <v>284.7</v>
      </c>
      <c r="J141" s="123" t="s">
        <v>29</v>
      </c>
      <c r="K141" s="149">
        <v>48.79</v>
      </c>
      <c r="L141" s="151"/>
      <c r="M141" s="141">
        <v>0.04</v>
      </c>
      <c r="N141" s="119">
        <v>0.02</v>
      </c>
      <c r="O141" s="119">
        <v>27</v>
      </c>
      <c r="P141" s="119">
        <v>0.9</v>
      </c>
      <c r="Q141" s="119">
        <v>0</v>
      </c>
      <c r="R141" s="119">
        <v>275</v>
      </c>
      <c r="S141" s="119">
        <v>41</v>
      </c>
      <c r="T141" s="119">
        <v>20</v>
      </c>
      <c r="U141" s="119">
        <v>14</v>
      </c>
      <c r="V141" s="119">
        <v>62</v>
      </c>
      <c r="W141" s="119">
        <v>1</v>
      </c>
      <c r="X141" s="119">
        <v>26.7</v>
      </c>
      <c r="Y141" s="119">
        <v>9.6999999999999993</v>
      </c>
    </row>
    <row r="142" spans="1:25" s="120" customFormat="1" ht="30" customHeight="1" x14ac:dyDescent="0.3">
      <c r="B142" s="306"/>
      <c r="C142" s="288" t="s">
        <v>219</v>
      </c>
      <c r="D142" s="289"/>
      <c r="E142" s="121">
        <v>150</v>
      </c>
      <c r="F142" s="122">
        <v>19.3</v>
      </c>
      <c r="G142" s="122">
        <v>4.8</v>
      </c>
      <c r="H142" s="122">
        <v>12.5</v>
      </c>
      <c r="I142" s="122">
        <v>171.07</v>
      </c>
      <c r="J142" s="123" t="s">
        <v>220</v>
      </c>
      <c r="K142" s="149">
        <v>53.46</v>
      </c>
      <c r="L142" s="151"/>
      <c r="M142" s="141">
        <v>0.13</v>
      </c>
      <c r="N142" s="141">
        <v>0.11</v>
      </c>
      <c r="O142" s="141">
        <v>6.13</v>
      </c>
      <c r="P142" s="141">
        <v>5.47</v>
      </c>
      <c r="Q142" s="141">
        <v>0</v>
      </c>
      <c r="R142" s="141">
        <v>305</v>
      </c>
      <c r="S142" s="141">
        <v>288</v>
      </c>
      <c r="T142" s="141">
        <v>47</v>
      </c>
      <c r="U142" s="141">
        <v>69</v>
      </c>
      <c r="V142" s="141">
        <v>164</v>
      </c>
      <c r="W142" s="141">
        <v>1.33</v>
      </c>
      <c r="X142" s="141">
        <v>17</v>
      </c>
      <c r="Y142" s="141">
        <v>18</v>
      </c>
    </row>
    <row r="143" spans="1:25" s="48" customFormat="1" ht="22.05" customHeight="1" x14ac:dyDescent="0.3">
      <c r="A143" s="20"/>
      <c r="B143" s="306"/>
      <c r="C143" s="280" t="s">
        <v>114</v>
      </c>
      <c r="D143" s="280"/>
      <c r="E143" s="51">
        <v>46</v>
      </c>
      <c r="F143" s="52">
        <f>F16/100*46</f>
        <v>3.496</v>
      </c>
      <c r="G143" s="52">
        <f t="shared" ref="G143:I143" si="40">G16/100*46</f>
        <v>0.41400000000000003</v>
      </c>
      <c r="H143" s="52">
        <f t="shared" si="40"/>
        <v>22.862000000000002</v>
      </c>
      <c r="I143" s="52">
        <f t="shared" si="40"/>
        <v>103.96</v>
      </c>
      <c r="J143" s="51" t="s">
        <v>63</v>
      </c>
      <c r="K143" s="145">
        <v>3.27</v>
      </c>
      <c r="L143" s="152"/>
      <c r="M143" s="140">
        <f>M16/40*46</f>
        <v>0.18860000000000002</v>
      </c>
      <c r="N143" s="140">
        <f t="shared" ref="N143:Y143" si="41">N16/40*46</f>
        <v>0.11615000000000002</v>
      </c>
      <c r="O143" s="140">
        <f t="shared" si="41"/>
        <v>0</v>
      </c>
      <c r="P143" s="140">
        <f t="shared" si="41"/>
        <v>2.5760000000000005</v>
      </c>
      <c r="Q143" s="140">
        <f t="shared" si="41"/>
        <v>9.1999999999999998E-2</v>
      </c>
      <c r="R143" s="140">
        <f t="shared" si="41"/>
        <v>217.57999999999998</v>
      </c>
      <c r="S143" s="140">
        <f t="shared" si="41"/>
        <v>57.5</v>
      </c>
      <c r="T143" s="140">
        <f t="shared" si="41"/>
        <v>2.254</v>
      </c>
      <c r="U143" s="140">
        <f t="shared" si="41"/>
        <v>18.86</v>
      </c>
      <c r="V143" s="140">
        <f t="shared" si="41"/>
        <v>59.34</v>
      </c>
      <c r="W143" s="140">
        <f t="shared" si="41"/>
        <v>1.6559999999999999</v>
      </c>
      <c r="X143" s="140">
        <f t="shared" si="41"/>
        <v>0</v>
      </c>
      <c r="Y143" s="140">
        <f t="shared" si="41"/>
        <v>13.247999999999999</v>
      </c>
    </row>
    <row r="144" spans="1:25" s="48" customFormat="1" ht="22.05" customHeight="1" x14ac:dyDescent="0.3">
      <c r="A144" s="20"/>
      <c r="B144" s="306"/>
      <c r="C144" s="280" t="s">
        <v>118</v>
      </c>
      <c r="D144" s="280"/>
      <c r="E144" s="51">
        <v>30</v>
      </c>
      <c r="F144" s="52">
        <f>F17/100*30</f>
        <v>1.41</v>
      </c>
      <c r="G144" s="52">
        <f>G17/100*30</f>
        <v>0.20999999999999996</v>
      </c>
      <c r="H144" s="52">
        <f>H17/100*30</f>
        <v>14.94</v>
      </c>
      <c r="I144" s="52">
        <f>I17/100*30</f>
        <v>64.2</v>
      </c>
      <c r="J144" s="51" t="s">
        <v>63</v>
      </c>
      <c r="K144" s="145">
        <v>2.73</v>
      </c>
      <c r="L144" s="152"/>
      <c r="M144" s="140">
        <f t="shared" ref="M144:Y144" si="42">M17/40*30</f>
        <v>0.1275</v>
      </c>
      <c r="N144" s="140">
        <f t="shared" si="42"/>
        <v>9.7500000000000003E-2</v>
      </c>
      <c r="O144" s="140">
        <f t="shared" si="42"/>
        <v>0</v>
      </c>
      <c r="P144" s="140">
        <f t="shared" si="42"/>
        <v>1.1399999999999999</v>
      </c>
      <c r="Q144" s="140">
        <f t="shared" si="42"/>
        <v>0.12</v>
      </c>
      <c r="R144" s="140">
        <f t="shared" si="42"/>
        <v>180.89999999999998</v>
      </c>
      <c r="S144" s="140">
        <f t="shared" si="42"/>
        <v>21.9</v>
      </c>
      <c r="T144" s="140">
        <f t="shared" si="42"/>
        <v>0.36</v>
      </c>
      <c r="U144" s="140">
        <f t="shared" si="42"/>
        <v>12</v>
      </c>
      <c r="V144" s="140">
        <f t="shared" si="42"/>
        <v>37.5</v>
      </c>
      <c r="W144" s="140">
        <f t="shared" si="42"/>
        <v>0.84749999999999992</v>
      </c>
      <c r="X144" s="140">
        <f t="shared" si="42"/>
        <v>0</v>
      </c>
      <c r="Y144" s="140">
        <f t="shared" si="42"/>
        <v>9.27</v>
      </c>
    </row>
    <row r="145" spans="1:25" s="48" customFormat="1" ht="22.05" customHeight="1" x14ac:dyDescent="0.3">
      <c r="A145" s="20"/>
      <c r="B145" s="306"/>
      <c r="C145" s="280" t="s">
        <v>187</v>
      </c>
      <c r="D145" s="280"/>
      <c r="E145" s="51">
        <v>200</v>
      </c>
      <c r="F145" s="52">
        <v>0.6</v>
      </c>
      <c r="G145" s="52">
        <v>0</v>
      </c>
      <c r="H145" s="52">
        <v>22.7</v>
      </c>
      <c r="I145" s="52">
        <v>93.2</v>
      </c>
      <c r="J145" s="53" t="s">
        <v>32</v>
      </c>
      <c r="K145" s="145">
        <v>5.17</v>
      </c>
      <c r="L145" s="145"/>
      <c r="M145" s="87">
        <v>0</v>
      </c>
      <c r="N145" s="87">
        <v>18.3</v>
      </c>
      <c r="O145" s="87">
        <v>0.06</v>
      </c>
      <c r="P145" s="87">
        <v>0</v>
      </c>
      <c r="Q145" s="87">
        <v>0</v>
      </c>
      <c r="R145" s="87">
        <v>0</v>
      </c>
      <c r="S145" s="87">
        <v>0</v>
      </c>
      <c r="T145" s="87">
        <v>60</v>
      </c>
      <c r="U145" s="87">
        <v>3</v>
      </c>
      <c r="V145" s="87">
        <v>5</v>
      </c>
      <c r="W145" s="87">
        <v>0</v>
      </c>
      <c r="X145" s="87">
        <v>0</v>
      </c>
      <c r="Y145" s="87">
        <v>0</v>
      </c>
    </row>
    <row r="146" spans="1:25" s="48" customFormat="1" ht="22.05" customHeight="1" x14ac:dyDescent="0.3">
      <c r="A146" s="20"/>
      <c r="B146" s="306"/>
      <c r="C146" s="248" t="s">
        <v>221</v>
      </c>
      <c r="D146" s="249"/>
      <c r="E146" s="51">
        <v>50</v>
      </c>
      <c r="F146" s="52">
        <v>0.95</v>
      </c>
      <c r="G146" s="52">
        <v>4.78</v>
      </c>
      <c r="H146" s="52">
        <v>14.44</v>
      </c>
      <c r="I146" s="52">
        <v>110</v>
      </c>
      <c r="J146" s="53" t="s">
        <v>63</v>
      </c>
      <c r="K146" s="145">
        <v>15</v>
      </c>
      <c r="L146" s="152"/>
      <c r="M146" s="140">
        <v>0.06</v>
      </c>
      <c r="N146" s="87">
        <v>0.04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19.28</v>
      </c>
      <c r="U146" s="87">
        <v>0</v>
      </c>
      <c r="V146" s="87">
        <v>0</v>
      </c>
      <c r="W146" s="87">
        <v>1.04</v>
      </c>
      <c r="X146" s="87">
        <v>0</v>
      </c>
      <c r="Y146" s="87">
        <v>0</v>
      </c>
    </row>
    <row r="147" spans="1:25" s="50" customFormat="1" ht="22.05" customHeight="1" x14ac:dyDescent="0.3">
      <c r="A147" s="14"/>
      <c r="B147" s="44"/>
      <c r="C147" s="297" t="s">
        <v>108</v>
      </c>
      <c r="D147" s="297"/>
      <c r="E147" s="45">
        <f>SUM(E140:E146)</f>
        <v>796</v>
      </c>
      <c r="F147" s="58">
        <f>SUM(F140:F146)</f>
        <v>31.756</v>
      </c>
      <c r="G147" s="58">
        <f>SUM(G140:G146)</f>
        <v>22.604000000000003</v>
      </c>
      <c r="H147" s="58">
        <f>SUM(H140:H146)</f>
        <v>155.54199999999997</v>
      </c>
      <c r="I147" s="58">
        <f>SUM(I140:I146)</f>
        <v>947.13000000000011</v>
      </c>
      <c r="J147" s="45"/>
      <c r="K147" s="150">
        <f>SUM(K140:K146)</f>
        <v>136.74</v>
      </c>
      <c r="L147" s="154"/>
      <c r="M147" s="142">
        <f t="shared" ref="M147:Y147" si="43">SUM(M140:M146)</f>
        <v>0.59610000000000007</v>
      </c>
      <c r="N147" s="111">
        <f t="shared" si="43"/>
        <v>18.743649999999999</v>
      </c>
      <c r="O147" s="111">
        <f t="shared" si="43"/>
        <v>33.190000000000005</v>
      </c>
      <c r="P147" s="111">
        <f t="shared" si="43"/>
        <v>10.086000000000002</v>
      </c>
      <c r="Q147" s="111">
        <f t="shared" si="43"/>
        <v>2.282</v>
      </c>
      <c r="R147" s="111">
        <f t="shared" si="43"/>
        <v>978.4799999999999</v>
      </c>
      <c r="S147" s="111">
        <f t="shared" si="43"/>
        <v>408.4</v>
      </c>
      <c r="T147" s="111">
        <f t="shared" si="43"/>
        <v>173.73400000000001</v>
      </c>
      <c r="U147" s="111">
        <f t="shared" si="43"/>
        <v>150.99</v>
      </c>
      <c r="V147" s="111">
        <f t="shared" si="43"/>
        <v>377.33000000000004</v>
      </c>
      <c r="W147" s="111">
        <f t="shared" si="43"/>
        <v>6.5335000000000001</v>
      </c>
      <c r="X147" s="111">
        <f t="shared" si="43"/>
        <v>43.7</v>
      </c>
      <c r="Y147" s="111">
        <f t="shared" si="43"/>
        <v>50.218000000000004</v>
      </c>
    </row>
    <row r="148" spans="1:25" ht="22.05" customHeight="1" x14ac:dyDescent="0.3">
      <c r="B148" s="284" t="s">
        <v>41</v>
      </c>
      <c r="C148" s="284"/>
      <c r="D148" s="284"/>
      <c r="E148" s="284"/>
      <c r="F148" s="284"/>
      <c r="G148" s="284"/>
      <c r="H148" s="284"/>
      <c r="I148" s="284"/>
      <c r="J148" s="5"/>
      <c r="K148" s="66"/>
      <c r="L148" s="66"/>
    </row>
    <row r="149" spans="1:25" ht="22.05" customHeight="1" x14ac:dyDescent="0.3">
      <c r="B149" s="284"/>
      <c r="C149" s="284"/>
      <c r="D149" s="284"/>
      <c r="E149" s="284"/>
      <c r="F149" s="284"/>
      <c r="G149" s="284"/>
      <c r="H149" s="284"/>
      <c r="I149" s="284"/>
      <c r="J149" s="6"/>
      <c r="K149" s="66"/>
      <c r="L149" s="66"/>
    </row>
    <row r="150" spans="1:25" ht="22.05" customHeight="1" x14ac:dyDescent="0.3">
      <c r="B150" s="284"/>
      <c r="C150" s="284"/>
      <c r="D150" s="284"/>
      <c r="E150" s="284"/>
      <c r="F150" s="284"/>
      <c r="G150" s="284"/>
      <c r="H150" s="284"/>
      <c r="I150" s="284"/>
      <c r="J150" s="7"/>
      <c r="K150" s="66"/>
      <c r="L150" s="66"/>
    </row>
    <row r="151" spans="1:25" ht="22.05" customHeight="1" x14ac:dyDescent="0.3">
      <c r="B151" s="285"/>
      <c r="C151" s="285"/>
      <c r="D151" s="285"/>
      <c r="E151" s="285"/>
      <c r="F151" s="285"/>
      <c r="G151" s="285"/>
      <c r="H151" s="285"/>
      <c r="I151" s="285"/>
      <c r="J151" s="91"/>
      <c r="K151" s="66"/>
      <c r="L151" s="66"/>
    </row>
    <row r="152" spans="1:25" ht="22.05" customHeight="1" x14ac:dyDescent="0.3">
      <c r="B152" s="286" t="s">
        <v>57</v>
      </c>
      <c r="C152" s="286"/>
      <c r="D152" s="286"/>
      <c r="E152" s="286"/>
      <c r="F152" s="286"/>
      <c r="G152" s="286"/>
      <c r="H152" s="286"/>
      <c r="I152" s="286"/>
      <c r="J152" s="22">
        <v>1</v>
      </c>
    </row>
    <row r="153" spans="1:25" ht="22.05" customHeight="1" x14ac:dyDescent="0.3">
      <c r="B153" s="287" t="s">
        <v>45</v>
      </c>
      <c r="C153" s="287"/>
      <c r="D153" s="287"/>
      <c r="E153" s="287"/>
      <c r="F153" s="287"/>
      <c r="G153" s="287"/>
      <c r="H153" s="287"/>
      <c r="I153" s="287"/>
      <c r="J153" s="22">
        <v>2</v>
      </c>
      <c r="K153" s="66"/>
      <c r="L153" s="66"/>
    </row>
    <row r="154" spans="1:25" ht="22.05" customHeight="1" x14ac:dyDescent="0.3">
      <c r="B154" s="287" t="s">
        <v>46</v>
      </c>
      <c r="C154" s="287"/>
      <c r="D154" s="287"/>
      <c r="E154" s="287"/>
      <c r="F154" s="287"/>
      <c r="G154" s="287"/>
      <c r="H154" s="287"/>
      <c r="I154" s="287"/>
      <c r="J154" s="22">
        <v>3</v>
      </c>
      <c r="K154" s="66"/>
      <c r="L154" s="66"/>
    </row>
    <row r="155" spans="1:25" ht="22.05" customHeight="1" x14ac:dyDescent="0.3">
      <c r="B155" s="283" t="s">
        <v>48</v>
      </c>
      <c r="C155" s="283"/>
      <c r="D155" s="283"/>
      <c r="E155" s="283"/>
      <c r="F155" s="283"/>
      <c r="G155" s="283"/>
      <c r="H155" s="283"/>
      <c r="I155" s="283"/>
      <c r="J155" s="22">
        <v>4</v>
      </c>
      <c r="K155" s="66"/>
      <c r="L155" s="66"/>
    </row>
    <row r="156" spans="1:25" ht="22.05" customHeight="1" x14ac:dyDescent="0.3">
      <c r="B156" s="30"/>
      <c r="C156" s="8"/>
      <c r="D156" s="8"/>
      <c r="E156" s="8"/>
      <c r="F156" s="8"/>
      <c r="G156" s="8"/>
      <c r="H156" s="8"/>
      <c r="I156" s="8"/>
      <c r="J156" s="8"/>
      <c r="K156" s="66"/>
      <c r="L156" s="66"/>
    </row>
  </sheetData>
  <mergeCells count="223">
    <mergeCell ref="C75:D75"/>
    <mergeCell ref="C79:D79"/>
    <mergeCell ref="C80:D80"/>
    <mergeCell ref="C94:D94"/>
    <mergeCell ref="C102:D102"/>
    <mergeCell ref="C104:D104"/>
    <mergeCell ref="C107:D107"/>
    <mergeCell ref="C93:D93"/>
    <mergeCell ref="C58:D59"/>
    <mergeCell ref="C68:D68"/>
    <mergeCell ref="B70:D70"/>
    <mergeCell ref="B71:K71"/>
    <mergeCell ref="C130:D130"/>
    <mergeCell ref="C131:D131"/>
    <mergeCell ref="B125:B126"/>
    <mergeCell ref="C125:D126"/>
    <mergeCell ref="E125:E126"/>
    <mergeCell ref="F112:H112"/>
    <mergeCell ref="I112:I113"/>
    <mergeCell ref="B111:K111"/>
    <mergeCell ref="B124:K124"/>
    <mergeCell ref="B99:B100"/>
    <mergeCell ref="C99:D100"/>
    <mergeCell ref="E99:E100"/>
    <mergeCell ref="F99:H99"/>
    <mergeCell ref="I99:I100"/>
    <mergeCell ref="J99:J100"/>
    <mergeCell ref="K99:K100"/>
    <mergeCell ref="B101:K101"/>
    <mergeCell ref="C118:D118"/>
    <mergeCell ref="C106:D106"/>
    <mergeCell ref="B102:B107"/>
    <mergeCell ref="B114:K114"/>
    <mergeCell ref="C116:D116"/>
    <mergeCell ref="C120:D120"/>
    <mergeCell ref="M137:Y137"/>
    <mergeCell ref="M138:Y138"/>
    <mergeCell ref="B140:B146"/>
    <mergeCell ref="C143:D143"/>
    <mergeCell ref="C144:D144"/>
    <mergeCell ref="B137:B138"/>
    <mergeCell ref="C137:D138"/>
    <mergeCell ref="E137:E138"/>
    <mergeCell ref="F137:H137"/>
    <mergeCell ref="I137:I138"/>
    <mergeCell ref="J137:J138"/>
    <mergeCell ref="K137:K138"/>
    <mergeCell ref="B139:K139"/>
    <mergeCell ref="C141:D141"/>
    <mergeCell ref="C140:D140"/>
    <mergeCell ref="C142:D142"/>
    <mergeCell ref="C145:D145"/>
    <mergeCell ref="C146:D146"/>
    <mergeCell ref="M136:Y136"/>
    <mergeCell ref="B128:B133"/>
    <mergeCell ref="C132:D132"/>
    <mergeCell ref="C133:D133"/>
    <mergeCell ref="C129:D129"/>
    <mergeCell ref="B155:I155"/>
    <mergeCell ref="B45:B46"/>
    <mergeCell ref="C45:D46"/>
    <mergeCell ref="E45:E46"/>
    <mergeCell ref="F45:H45"/>
    <mergeCell ref="I45:I46"/>
    <mergeCell ref="J45:J46"/>
    <mergeCell ref="C147:D147"/>
    <mergeCell ref="B148:I150"/>
    <mergeCell ref="B151:I151"/>
    <mergeCell ref="B152:I152"/>
    <mergeCell ref="C121:D121"/>
    <mergeCell ref="C108:D108"/>
    <mergeCell ref="B115:B120"/>
    <mergeCell ref="C50:D50"/>
    <mergeCell ref="C51:D51"/>
    <mergeCell ref="C54:D54"/>
    <mergeCell ref="F125:H125"/>
    <mergeCell ref="B84:K84"/>
    <mergeCell ref="B153:I153"/>
    <mergeCell ref="B154:I154"/>
    <mergeCell ref="J125:J126"/>
    <mergeCell ref="B72:B73"/>
    <mergeCell ref="C72:D73"/>
    <mergeCell ref="M99:Y99"/>
    <mergeCell ref="M100:Y100"/>
    <mergeCell ref="K125:K126"/>
    <mergeCell ref="B127:K127"/>
    <mergeCell ref="M112:Y112"/>
    <mergeCell ref="C112:D113"/>
    <mergeCell ref="E112:E113"/>
    <mergeCell ref="B87:K87"/>
    <mergeCell ref="M125:Y125"/>
    <mergeCell ref="M126:Y126"/>
    <mergeCell ref="J112:J113"/>
    <mergeCell ref="K112:K113"/>
    <mergeCell ref="B112:B113"/>
    <mergeCell ref="I125:I126"/>
    <mergeCell ref="C92:D92"/>
    <mergeCell ref="C89:D89"/>
    <mergeCell ref="C91:D91"/>
    <mergeCell ref="C103:D103"/>
    <mergeCell ref="M124:Y124"/>
    <mergeCell ref="M113:Y113"/>
    <mergeCell ref="M98:Y98"/>
    <mergeCell ref="M111:Y111"/>
    <mergeCell ref="C119:D119"/>
    <mergeCell ref="C117:D117"/>
    <mergeCell ref="C128:D128"/>
    <mergeCell ref="B136:K136"/>
    <mergeCell ref="C134:D134"/>
    <mergeCell ref="E72:E73"/>
    <mergeCell ref="F72:H72"/>
    <mergeCell ref="I72:I73"/>
    <mergeCell ref="J72:J73"/>
    <mergeCell ref="K72:K73"/>
    <mergeCell ref="B74:K74"/>
    <mergeCell ref="B75:B80"/>
    <mergeCell ref="C76:D76"/>
    <mergeCell ref="C77:D77"/>
    <mergeCell ref="C78:D78"/>
    <mergeCell ref="C85:D86"/>
    <mergeCell ref="C105:D105"/>
    <mergeCell ref="C95:D95"/>
    <mergeCell ref="B98:K98"/>
    <mergeCell ref="C81:D81"/>
    <mergeCell ref="B83:D83"/>
    <mergeCell ref="E85:E86"/>
    <mergeCell ref="B85:B86"/>
    <mergeCell ref="C88:D88"/>
    <mergeCell ref="C90:D90"/>
    <mergeCell ref="C115:D115"/>
    <mergeCell ref="C35:D35"/>
    <mergeCell ref="J58:J59"/>
    <mergeCell ref="C67:D67"/>
    <mergeCell ref="B60:K60"/>
    <mergeCell ref="B57:K57"/>
    <mergeCell ref="B61:B67"/>
    <mergeCell ref="C62:D62"/>
    <mergeCell ref="C63:D63"/>
    <mergeCell ref="C65:D65"/>
    <mergeCell ref="C66:D66"/>
    <mergeCell ref="K58:K59"/>
    <mergeCell ref="C64:D64"/>
    <mergeCell ref="B58:B59"/>
    <mergeCell ref="C48:D48"/>
    <mergeCell ref="C61:D61"/>
    <mergeCell ref="C49:D49"/>
    <mergeCell ref="C53:D53"/>
    <mergeCell ref="B22:B27"/>
    <mergeCell ref="C22:D22"/>
    <mergeCell ref="C24:D24"/>
    <mergeCell ref="C25:D25"/>
    <mergeCell ref="K19:K20"/>
    <mergeCell ref="B21:K21"/>
    <mergeCell ref="C27:D27"/>
    <mergeCell ref="C26:D26"/>
    <mergeCell ref="C23:D23"/>
    <mergeCell ref="B1:J1"/>
    <mergeCell ref="B2:J2"/>
    <mergeCell ref="B3:J3"/>
    <mergeCell ref="H5:J5"/>
    <mergeCell ref="G6:J6"/>
    <mergeCell ref="G7:J7"/>
    <mergeCell ref="B19:B20"/>
    <mergeCell ref="C19:D20"/>
    <mergeCell ref="E19:E20"/>
    <mergeCell ref="F19:H19"/>
    <mergeCell ref="I19:I20"/>
    <mergeCell ref="J19:J20"/>
    <mergeCell ref="G8:J8"/>
    <mergeCell ref="B12:J12"/>
    <mergeCell ref="B13:J13"/>
    <mergeCell ref="B14:J14"/>
    <mergeCell ref="B15:J15"/>
    <mergeCell ref="B17:D17"/>
    <mergeCell ref="B18:K18"/>
    <mergeCell ref="M72:Y72"/>
    <mergeCell ref="M73:Y73"/>
    <mergeCell ref="M86:Y86"/>
    <mergeCell ref="E58:E59"/>
    <mergeCell ref="F58:H58"/>
    <mergeCell ref="I58:I59"/>
    <mergeCell ref="M18:Y18"/>
    <mergeCell ref="M31:Y31"/>
    <mergeCell ref="M57:Y57"/>
    <mergeCell ref="M44:Y44"/>
    <mergeCell ref="M71:Y71"/>
    <mergeCell ref="M84:Y84"/>
    <mergeCell ref="M19:Y19"/>
    <mergeCell ref="M20:Y20"/>
    <mergeCell ref="M32:Y32"/>
    <mergeCell ref="M33:Y33"/>
    <mergeCell ref="M45:Y45"/>
    <mergeCell ref="M46:Y46"/>
    <mergeCell ref="M58:Y58"/>
    <mergeCell ref="M59:Y59"/>
    <mergeCell ref="M85:Y85"/>
    <mergeCell ref="E32:E33"/>
    <mergeCell ref="F32:H32"/>
    <mergeCell ref="I32:I33"/>
    <mergeCell ref="C28:D28"/>
    <mergeCell ref="C30:D30"/>
    <mergeCell ref="C41:D41"/>
    <mergeCell ref="K45:K46"/>
    <mergeCell ref="B47:K47"/>
    <mergeCell ref="B44:K44"/>
    <mergeCell ref="C52:D52"/>
    <mergeCell ref="B48:B53"/>
    <mergeCell ref="F85:H85"/>
    <mergeCell ref="I85:I86"/>
    <mergeCell ref="J85:J86"/>
    <mergeCell ref="K85:K86"/>
    <mergeCell ref="B32:B33"/>
    <mergeCell ref="C32:D33"/>
    <mergeCell ref="J32:J33"/>
    <mergeCell ref="B31:K31"/>
    <mergeCell ref="B35:B40"/>
    <mergeCell ref="C36:D36"/>
    <mergeCell ref="C37:D37"/>
    <mergeCell ref="C38:D38"/>
    <mergeCell ref="C39:D39"/>
    <mergeCell ref="C40:D40"/>
    <mergeCell ref="K32:K33"/>
    <mergeCell ref="B34:K34"/>
  </mergeCells>
  <phoneticPr fontId="33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1" manualBreakCount="11">
    <brk id="16" max="16383" man="1"/>
    <brk id="29" max="16383" man="1"/>
    <brk id="42" max="16383" man="1"/>
    <brk id="55" max="16383" man="1"/>
    <brk id="69" max="23" man="1"/>
    <brk id="82" max="23" man="1"/>
    <brk id="96" max="16383" man="1"/>
    <brk id="109" max="16383" man="1"/>
    <brk id="121" max="16383" man="1"/>
    <brk id="134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195"/>
  <sheetViews>
    <sheetView topLeftCell="A130" zoomScale="80" zoomScaleNormal="80" workbookViewId="0">
      <selection activeCell="C135" sqref="C135:D135"/>
    </sheetView>
  </sheetViews>
  <sheetFormatPr defaultColWidth="9.109375" defaultRowHeight="15" customHeight="1" x14ac:dyDescent="0.3"/>
  <cols>
    <col min="1" max="1" width="7.109375" style="1" customWidth="1"/>
    <col min="2" max="2" width="14.5546875" style="1" customWidth="1"/>
    <col min="3" max="3" width="9.109375" style="1" customWidth="1"/>
    <col min="4" max="4" width="45.44140625" style="1" customWidth="1"/>
    <col min="5" max="5" width="9.109375" style="1" customWidth="1"/>
    <col min="6" max="6" width="9" style="1" customWidth="1"/>
    <col min="7" max="7" width="9.44140625" style="1" customWidth="1"/>
    <col min="8" max="8" width="12.109375" style="1" customWidth="1"/>
    <col min="9" max="9" width="11.5546875" style="1" customWidth="1"/>
    <col min="10" max="10" width="13.21875" style="1" customWidth="1"/>
    <col min="11" max="11" width="11.33203125" style="1" hidden="1" customWidth="1"/>
    <col min="12" max="12" width="1.88671875" style="1" customWidth="1"/>
    <col min="13" max="25" width="9.109375" style="113" customWidth="1"/>
  </cols>
  <sheetData>
    <row r="1" spans="2:25" ht="22.05" customHeight="1" x14ac:dyDescent="0.3">
      <c r="B1" s="265" t="s">
        <v>105</v>
      </c>
      <c r="C1" s="265"/>
      <c r="D1" s="265"/>
      <c r="E1" s="265"/>
      <c r="F1" s="265"/>
      <c r="G1" s="265"/>
      <c r="H1" s="265"/>
      <c r="I1" s="265"/>
      <c r="J1" s="265"/>
    </row>
    <row r="2" spans="2:25" ht="22.05" customHeight="1" x14ac:dyDescent="0.3">
      <c r="B2" s="275" t="s">
        <v>98</v>
      </c>
      <c r="C2" s="275"/>
      <c r="D2" s="275"/>
      <c r="E2" s="275"/>
      <c r="F2" s="275"/>
      <c r="G2" s="275"/>
      <c r="H2" s="275"/>
      <c r="I2" s="275"/>
      <c r="J2" s="275"/>
    </row>
    <row r="3" spans="2:25" ht="22.05" customHeight="1" x14ac:dyDescent="0.3">
      <c r="B3" s="276" t="s">
        <v>99</v>
      </c>
      <c r="C3" s="276"/>
      <c r="D3" s="276"/>
      <c r="E3" s="276"/>
      <c r="F3" s="276"/>
      <c r="G3" s="276"/>
      <c r="H3" s="276"/>
      <c r="I3" s="276"/>
      <c r="J3" s="276"/>
    </row>
    <row r="4" spans="2:25" ht="22.05" customHeight="1" x14ac:dyDescent="0.3">
      <c r="B4" s="66"/>
      <c r="C4" s="66"/>
      <c r="D4" s="66"/>
      <c r="E4" s="66"/>
      <c r="F4" s="66"/>
      <c r="G4" s="66"/>
      <c r="H4" s="66"/>
      <c r="I4" s="66"/>
      <c r="J4" s="66"/>
    </row>
    <row r="5" spans="2:25" ht="22.05" customHeight="1" x14ac:dyDescent="0.3">
      <c r="B5" s="66"/>
      <c r="C5" s="66"/>
      <c r="D5" s="66"/>
      <c r="E5" s="66"/>
      <c r="F5" s="66"/>
      <c r="G5" s="65"/>
      <c r="H5" s="266" t="s">
        <v>106</v>
      </c>
      <c r="I5" s="266"/>
      <c r="J5" s="266"/>
    </row>
    <row r="6" spans="2:25" ht="22.05" customHeight="1" x14ac:dyDescent="0.3">
      <c r="B6" s="66"/>
      <c r="C6" s="66"/>
      <c r="D6" s="66"/>
      <c r="E6" s="66"/>
      <c r="F6" s="66"/>
      <c r="G6" s="266" t="s">
        <v>188</v>
      </c>
      <c r="H6" s="266"/>
      <c r="I6" s="266"/>
      <c r="J6" s="266"/>
    </row>
    <row r="7" spans="2:25" ht="22.05" customHeight="1" x14ac:dyDescent="0.3">
      <c r="B7" s="66"/>
      <c r="C7" s="66"/>
      <c r="D7" s="66"/>
      <c r="E7" s="66"/>
      <c r="F7" s="66"/>
      <c r="G7" s="266" t="s">
        <v>186</v>
      </c>
      <c r="H7" s="266"/>
      <c r="I7" s="266"/>
      <c r="J7" s="266"/>
    </row>
    <row r="8" spans="2:25" ht="22.05" customHeight="1" x14ac:dyDescent="0.3">
      <c r="B8" s="33"/>
      <c r="C8" s="33"/>
      <c r="D8" s="33"/>
      <c r="E8" s="33"/>
      <c r="F8" s="33"/>
      <c r="G8" s="267" t="s">
        <v>189</v>
      </c>
      <c r="H8" s="267"/>
      <c r="I8" s="267"/>
      <c r="J8" s="267"/>
    </row>
    <row r="9" spans="2:25" ht="22.05" customHeight="1" x14ac:dyDescent="0.3">
      <c r="B9" s="33"/>
      <c r="C9" s="33"/>
      <c r="D9" s="33"/>
      <c r="E9" s="33"/>
      <c r="F9" s="33"/>
      <c r="G9" s="33"/>
      <c r="H9" s="33"/>
      <c r="I9" s="33"/>
      <c r="J9" s="33"/>
    </row>
    <row r="10" spans="2:25" ht="22.05" customHeight="1" x14ac:dyDescent="0.45">
      <c r="B10" s="32"/>
      <c r="C10" s="32"/>
      <c r="D10" s="32"/>
      <c r="E10" s="32"/>
      <c r="F10" s="32"/>
      <c r="G10" s="32"/>
      <c r="H10" s="32"/>
      <c r="I10" s="32"/>
      <c r="J10" s="29"/>
    </row>
    <row r="11" spans="2:25" ht="22.05" customHeight="1" x14ac:dyDescent="0.45">
      <c r="B11" s="32"/>
      <c r="C11" s="32"/>
      <c r="D11" s="32"/>
      <c r="E11" s="32"/>
      <c r="F11" s="32"/>
      <c r="G11" s="32"/>
      <c r="H11" s="32"/>
      <c r="I11" s="32"/>
      <c r="J11" s="29"/>
    </row>
    <row r="12" spans="2:25" ht="22.05" customHeight="1" x14ac:dyDescent="0.4">
      <c r="B12" s="277" t="s">
        <v>101</v>
      </c>
      <c r="C12" s="278"/>
      <c r="D12" s="278"/>
      <c r="E12" s="278"/>
      <c r="F12" s="278"/>
      <c r="G12" s="278"/>
      <c r="H12" s="278"/>
      <c r="I12" s="278"/>
      <c r="J12" s="279"/>
    </row>
    <row r="13" spans="2:25" ht="22.05" customHeight="1" x14ac:dyDescent="0.4">
      <c r="B13" s="239" t="s">
        <v>96</v>
      </c>
      <c r="C13" s="240"/>
      <c r="D13" s="240"/>
      <c r="E13" s="240"/>
      <c r="F13" s="240"/>
      <c r="G13" s="240"/>
      <c r="H13" s="240"/>
      <c r="I13" s="240"/>
      <c r="J13" s="241"/>
    </row>
    <row r="14" spans="2:25" ht="22.05" customHeight="1" x14ac:dyDescent="0.4">
      <c r="B14" s="239" t="s">
        <v>97</v>
      </c>
      <c r="C14" s="240"/>
      <c r="D14" s="240"/>
      <c r="E14" s="240"/>
      <c r="F14" s="240"/>
      <c r="G14" s="240"/>
      <c r="H14" s="240"/>
      <c r="I14" s="240"/>
      <c r="J14" s="241"/>
    </row>
    <row r="15" spans="2:25" ht="22.05" customHeight="1" x14ac:dyDescent="0.4">
      <c r="B15" s="242" t="s">
        <v>160</v>
      </c>
      <c r="C15" s="243"/>
      <c r="D15" s="243"/>
      <c r="E15" s="243"/>
      <c r="F15" s="243"/>
      <c r="G15" s="243"/>
      <c r="H15" s="243"/>
      <c r="I15" s="243"/>
      <c r="J15" s="244"/>
    </row>
    <row r="16" spans="2:25" ht="22.05" customHeight="1" x14ac:dyDescent="0.3">
      <c r="B16" s="2"/>
      <c r="C16" s="2"/>
      <c r="D16" s="3"/>
      <c r="E16" s="206" t="s">
        <v>182</v>
      </c>
      <c r="F16" s="206">
        <v>7.6</v>
      </c>
      <c r="G16" s="206">
        <v>0.9</v>
      </c>
      <c r="H16" s="206">
        <v>49.7</v>
      </c>
      <c r="I16" s="206">
        <v>226</v>
      </c>
      <c r="J16" s="209"/>
      <c r="K16" s="209" t="s">
        <v>169</v>
      </c>
      <c r="L16" s="209"/>
      <c r="M16" s="211">
        <v>0.123</v>
      </c>
      <c r="N16" s="211">
        <v>7.5999999999999998E-2</v>
      </c>
      <c r="O16" s="211">
        <v>0</v>
      </c>
      <c r="P16" s="211">
        <v>1.68</v>
      </c>
      <c r="Q16" s="211">
        <v>0.06</v>
      </c>
      <c r="R16" s="211">
        <v>141.9</v>
      </c>
      <c r="S16" s="211">
        <v>37.5</v>
      </c>
      <c r="T16" s="211">
        <v>1.47</v>
      </c>
      <c r="U16" s="211">
        <v>12.3</v>
      </c>
      <c r="V16" s="211">
        <v>38.700000000000003</v>
      </c>
      <c r="W16" s="211">
        <v>1.08</v>
      </c>
      <c r="X16" s="211">
        <v>0</v>
      </c>
      <c r="Y16" s="211">
        <v>8.64</v>
      </c>
    </row>
    <row r="17" spans="1:25" ht="22.05" customHeight="1" x14ac:dyDescent="0.3">
      <c r="B17" s="2"/>
      <c r="C17" s="2"/>
      <c r="D17" s="3"/>
      <c r="E17" s="206" t="s">
        <v>183</v>
      </c>
      <c r="F17" s="206">
        <v>4.7</v>
      </c>
      <c r="G17" s="206">
        <v>0.7</v>
      </c>
      <c r="H17" s="206">
        <v>49.8</v>
      </c>
      <c r="I17" s="206">
        <v>214</v>
      </c>
      <c r="J17" s="209"/>
      <c r="K17" s="209" t="s">
        <v>170</v>
      </c>
      <c r="L17" s="209"/>
      <c r="M17" s="211">
        <v>0.13</v>
      </c>
      <c r="N17" s="211">
        <v>0.1</v>
      </c>
      <c r="O17" s="211">
        <v>0</v>
      </c>
      <c r="P17" s="211">
        <v>1.1399999999999999</v>
      </c>
      <c r="Q17" s="211">
        <v>0.12</v>
      </c>
      <c r="R17" s="211">
        <v>180.9</v>
      </c>
      <c r="S17" s="211">
        <v>21.9</v>
      </c>
      <c r="T17" s="211">
        <v>0.36</v>
      </c>
      <c r="U17" s="211">
        <v>12</v>
      </c>
      <c r="V17" s="211">
        <v>37.5</v>
      </c>
      <c r="W17" s="211">
        <v>0.85</v>
      </c>
      <c r="X17" s="211">
        <v>0</v>
      </c>
      <c r="Y17" s="211">
        <v>9.27</v>
      </c>
    </row>
    <row r="18" spans="1:25" s="19" customFormat="1" ht="22.05" customHeight="1" x14ac:dyDescent="0.3">
      <c r="A18" s="17"/>
      <c r="B18" s="255" t="s">
        <v>60</v>
      </c>
      <c r="C18" s="256"/>
      <c r="D18" s="256"/>
      <c r="E18" s="256"/>
      <c r="F18" s="256"/>
      <c r="G18" s="256"/>
      <c r="H18" s="256"/>
      <c r="I18" s="256"/>
      <c r="J18" s="256"/>
      <c r="K18" s="313"/>
      <c r="L18" s="17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</row>
    <row r="19" spans="1:25" s="19" customFormat="1" ht="22.05" customHeight="1" x14ac:dyDescent="0.3">
      <c r="A19" s="17"/>
      <c r="B19" s="257" t="s">
        <v>73</v>
      </c>
      <c r="C19" s="259" t="s">
        <v>1</v>
      </c>
      <c r="D19" s="260"/>
      <c r="E19" s="257" t="s">
        <v>2</v>
      </c>
      <c r="F19" s="255" t="s">
        <v>3</v>
      </c>
      <c r="G19" s="256"/>
      <c r="H19" s="256"/>
      <c r="I19" s="253" t="s">
        <v>145</v>
      </c>
      <c r="J19" s="252" t="s">
        <v>75</v>
      </c>
      <c r="K19" s="314" t="s">
        <v>185</v>
      </c>
      <c r="L19" s="164"/>
      <c r="M19" s="322" t="s">
        <v>159</v>
      </c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</row>
    <row r="20" spans="1:25" s="19" customFormat="1" ht="43.2" customHeight="1" x14ac:dyDescent="0.3">
      <c r="A20" s="17"/>
      <c r="B20" s="258"/>
      <c r="C20" s="261"/>
      <c r="D20" s="262"/>
      <c r="E20" s="258"/>
      <c r="F20" s="63" t="s">
        <v>142</v>
      </c>
      <c r="G20" s="63" t="s">
        <v>143</v>
      </c>
      <c r="H20" s="63" t="s">
        <v>144</v>
      </c>
      <c r="I20" s="254"/>
      <c r="J20" s="252"/>
      <c r="K20" s="315"/>
      <c r="L20" s="165"/>
      <c r="M20" s="323" t="s">
        <v>173</v>
      </c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</row>
    <row r="21" spans="1:25" s="19" customFormat="1" ht="22.05" customHeight="1" x14ac:dyDescent="0.3">
      <c r="A21" s="17"/>
      <c r="B21" s="316" t="s">
        <v>88</v>
      </c>
      <c r="C21" s="317"/>
      <c r="D21" s="317"/>
      <c r="E21" s="317"/>
      <c r="F21" s="317"/>
      <c r="G21" s="317"/>
      <c r="H21" s="317"/>
      <c r="I21" s="317"/>
      <c r="J21" s="317"/>
      <c r="K21" s="318"/>
      <c r="L21" s="168"/>
      <c r="M21" s="118" t="s">
        <v>146</v>
      </c>
      <c r="N21" s="118" t="s">
        <v>147</v>
      </c>
      <c r="O21" s="118" t="s">
        <v>148</v>
      </c>
      <c r="P21" s="118" t="s">
        <v>150</v>
      </c>
      <c r="Q21" s="118" t="s">
        <v>149</v>
      </c>
      <c r="R21" s="118" t="s">
        <v>151</v>
      </c>
      <c r="S21" s="118" t="s">
        <v>152</v>
      </c>
      <c r="T21" s="118" t="s">
        <v>153</v>
      </c>
      <c r="U21" s="118" t="s">
        <v>154</v>
      </c>
      <c r="V21" s="118" t="s">
        <v>155</v>
      </c>
      <c r="W21" s="118" t="s">
        <v>156</v>
      </c>
      <c r="X21" s="118" t="s">
        <v>157</v>
      </c>
      <c r="Y21" s="118" t="s">
        <v>158</v>
      </c>
    </row>
    <row r="22" spans="1:25" s="19" customFormat="1" ht="22.05" customHeight="1" x14ac:dyDescent="0.3">
      <c r="A22" s="17"/>
      <c r="B22" s="270" t="s">
        <v>4</v>
      </c>
      <c r="C22" s="291" t="s">
        <v>6</v>
      </c>
      <c r="D22" s="324"/>
      <c r="E22" s="51">
        <v>170</v>
      </c>
      <c r="F22" s="52">
        <v>7.14</v>
      </c>
      <c r="G22" s="52">
        <v>9.7799999999999994</v>
      </c>
      <c r="H22" s="52">
        <v>32.979999999999997</v>
      </c>
      <c r="I22" s="52">
        <v>248.29</v>
      </c>
      <c r="J22" s="53" t="s">
        <v>5</v>
      </c>
      <c r="K22" s="169">
        <v>20.28</v>
      </c>
      <c r="L22" s="163"/>
      <c r="M22" s="87">
        <v>0.2</v>
      </c>
      <c r="N22" s="87">
        <v>0.11</v>
      </c>
      <c r="O22" s="87">
        <v>36.130000000000003</v>
      </c>
      <c r="P22" s="87">
        <v>0.6</v>
      </c>
      <c r="Q22" s="87">
        <v>0</v>
      </c>
      <c r="R22" s="87">
        <v>385.05</v>
      </c>
      <c r="S22" s="87">
        <v>216.75</v>
      </c>
      <c r="T22" s="87">
        <v>109.65</v>
      </c>
      <c r="U22" s="87">
        <v>49.3</v>
      </c>
      <c r="V22" s="87">
        <v>157.25</v>
      </c>
      <c r="W22" s="87">
        <v>2.5499999999999998</v>
      </c>
      <c r="X22" s="87">
        <v>43.86</v>
      </c>
      <c r="Y22" s="87">
        <v>2.64</v>
      </c>
    </row>
    <row r="23" spans="1:25" s="19" customFormat="1" ht="22.05" customHeight="1" x14ac:dyDescent="0.3">
      <c r="A23" s="17"/>
      <c r="B23" s="268"/>
      <c r="C23" s="280" t="s">
        <v>110</v>
      </c>
      <c r="D23" s="280"/>
      <c r="E23" s="51">
        <v>30</v>
      </c>
      <c r="F23" s="52">
        <f>F16/100*30</f>
        <v>2.2799999999999998</v>
      </c>
      <c r="G23" s="52">
        <f t="shared" ref="G23:I23" si="0">G16/100*30</f>
        <v>0.27</v>
      </c>
      <c r="H23" s="52">
        <f t="shared" si="0"/>
        <v>14.910000000000002</v>
      </c>
      <c r="I23" s="52">
        <f t="shared" si="0"/>
        <v>67.8</v>
      </c>
      <c r="J23" s="51" t="s">
        <v>63</v>
      </c>
      <c r="K23" s="169">
        <v>4</v>
      </c>
      <c r="L23" s="163"/>
      <c r="M23" s="87">
        <f>M16</f>
        <v>0.123</v>
      </c>
      <c r="N23" s="87">
        <f t="shared" ref="N23:Y23" si="1">N16</f>
        <v>7.5999999999999998E-2</v>
      </c>
      <c r="O23" s="87">
        <f t="shared" si="1"/>
        <v>0</v>
      </c>
      <c r="P23" s="87">
        <f t="shared" si="1"/>
        <v>1.68</v>
      </c>
      <c r="Q23" s="87">
        <f t="shared" si="1"/>
        <v>0.06</v>
      </c>
      <c r="R23" s="87">
        <f t="shared" si="1"/>
        <v>141.9</v>
      </c>
      <c r="S23" s="87">
        <f t="shared" si="1"/>
        <v>37.5</v>
      </c>
      <c r="T23" s="87">
        <f t="shared" si="1"/>
        <v>1.47</v>
      </c>
      <c r="U23" s="87">
        <f t="shared" si="1"/>
        <v>12.3</v>
      </c>
      <c r="V23" s="87">
        <f t="shared" si="1"/>
        <v>38.700000000000003</v>
      </c>
      <c r="W23" s="87">
        <f t="shared" si="1"/>
        <v>1.08</v>
      </c>
      <c r="X23" s="87">
        <f t="shared" si="1"/>
        <v>0</v>
      </c>
      <c r="Y23" s="87">
        <f t="shared" si="1"/>
        <v>8.64</v>
      </c>
    </row>
    <row r="24" spans="1:25" s="19" customFormat="1" ht="22.05" customHeight="1" x14ac:dyDescent="0.3">
      <c r="A24" s="17"/>
      <c r="B24" s="268"/>
      <c r="C24" s="248" t="s">
        <v>118</v>
      </c>
      <c r="D24" s="249"/>
      <c r="E24" s="51">
        <v>30</v>
      </c>
      <c r="F24" s="52">
        <f>F17/100*30</f>
        <v>1.41</v>
      </c>
      <c r="G24" s="52">
        <f t="shared" ref="G24:I24" si="2">G17/100*30</f>
        <v>0.20999999999999996</v>
      </c>
      <c r="H24" s="52">
        <f t="shared" si="2"/>
        <v>14.94</v>
      </c>
      <c r="I24" s="52">
        <f t="shared" si="2"/>
        <v>64.2</v>
      </c>
      <c r="J24" s="51" t="s">
        <v>63</v>
      </c>
      <c r="K24" s="169">
        <v>2.73</v>
      </c>
      <c r="L24" s="163"/>
      <c r="M24" s="87">
        <f>M17</f>
        <v>0.13</v>
      </c>
      <c r="N24" s="87">
        <f t="shared" ref="N24:Y24" si="3">N17</f>
        <v>0.1</v>
      </c>
      <c r="O24" s="87">
        <f t="shared" si="3"/>
        <v>0</v>
      </c>
      <c r="P24" s="87">
        <f t="shared" si="3"/>
        <v>1.1399999999999999</v>
      </c>
      <c r="Q24" s="87">
        <f t="shared" si="3"/>
        <v>0.12</v>
      </c>
      <c r="R24" s="87">
        <f t="shared" si="3"/>
        <v>180.9</v>
      </c>
      <c r="S24" s="87">
        <f t="shared" si="3"/>
        <v>21.9</v>
      </c>
      <c r="T24" s="87">
        <f t="shared" si="3"/>
        <v>0.36</v>
      </c>
      <c r="U24" s="87">
        <f t="shared" si="3"/>
        <v>12</v>
      </c>
      <c r="V24" s="87">
        <f t="shared" si="3"/>
        <v>37.5</v>
      </c>
      <c r="W24" s="87">
        <f t="shared" si="3"/>
        <v>0.85</v>
      </c>
      <c r="X24" s="87">
        <f t="shared" si="3"/>
        <v>0</v>
      </c>
      <c r="Y24" s="87">
        <f t="shared" si="3"/>
        <v>9.27</v>
      </c>
    </row>
    <row r="25" spans="1:25" s="19" customFormat="1" ht="22.05" customHeight="1" x14ac:dyDescent="0.3">
      <c r="A25" s="17"/>
      <c r="B25" s="268"/>
      <c r="C25" s="280" t="s">
        <v>224</v>
      </c>
      <c r="D25" s="280"/>
      <c r="E25" s="51">
        <v>200</v>
      </c>
      <c r="F25" s="52">
        <v>0.3</v>
      </c>
      <c r="G25" s="52">
        <v>0</v>
      </c>
      <c r="H25" s="52">
        <v>6.7</v>
      </c>
      <c r="I25" s="52">
        <v>27.6</v>
      </c>
      <c r="J25" s="53" t="s">
        <v>17</v>
      </c>
      <c r="K25" s="169">
        <v>5.72</v>
      </c>
      <c r="L25" s="163"/>
      <c r="M25" s="87">
        <v>0</v>
      </c>
      <c r="N25" s="87">
        <v>0.01</v>
      </c>
      <c r="O25" s="87">
        <v>0</v>
      </c>
      <c r="P25" s="87">
        <v>7.0000000000000007E-2</v>
      </c>
      <c r="Q25" s="87">
        <v>1</v>
      </c>
      <c r="R25" s="87">
        <v>2</v>
      </c>
      <c r="S25" s="87">
        <v>36</v>
      </c>
      <c r="T25" s="87">
        <v>6</v>
      </c>
      <c r="U25" s="87">
        <v>5</v>
      </c>
      <c r="V25" s="87">
        <v>8</v>
      </c>
      <c r="W25" s="87">
        <v>1</v>
      </c>
      <c r="X25" s="87">
        <v>0</v>
      </c>
      <c r="Y25" s="87">
        <v>0</v>
      </c>
    </row>
    <row r="26" spans="1:25" s="19" customFormat="1" ht="22.05" customHeight="1" x14ac:dyDescent="0.3">
      <c r="A26" s="17"/>
      <c r="B26" s="268"/>
      <c r="C26" s="280" t="s">
        <v>42</v>
      </c>
      <c r="D26" s="280"/>
      <c r="E26" s="51">
        <v>200</v>
      </c>
      <c r="F26" s="52">
        <v>0.8</v>
      </c>
      <c r="G26" s="52">
        <v>0.8</v>
      </c>
      <c r="H26" s="52">
        <v>19.600000000000001</v>
      </c>
      <c r="I26" s="52">
        <v>93.73</v>
      </c>
      <c r="J26" s="53">
        <v>338</v>
      </c>
      <c r="K26" s="169">
        <v>44</v>
      </c>
      <c r="L26" s="163"/>
      <c r="M26" s="87">
        <v>7.0000000000000007E-2</v>
      </c>
      <c r="N26" s="87">
        <v>0.04</v>
      </c>
      <c r="O26" s="87">
        <v>10</v>
      </c>
      <c r="P26" s="87">
        <v>0.76</v>
      </c>
      <c r="Q26" s="87">
        <v>20</v>
      </c>
      <c r="R26" s="87">
        <v>52</v>
      </c>
      <c r="S26" s="87">
        <v>556</v>
      </c>
      <c r="T26" s="87">
        <v>32</v>
      </c>
      <c r="U26" s="87">
        <v>18</v>
      </c>
      <c r="V26" s="87">
        <v>22</v>
      </c>
      <c r="W26" s="87">
        <v>4.4000000000000004</v>
      </c>
      <c r="X26" s="87">
        <v>4</v>
      </c>
      <c r="Y26" s="87">
        <v>0.6</v>
      </c>
    </row>
    <row r="27" spans="1:25" s="19" customFormat="1" ht="22.05" customHeight="1" x14ac:dyDescent="0.3">
      <c r="A27" s="17"/>
      <c r="B27" s="69"/>
      <c r="C27" s="319" t="s">
        <v>226</v>
      </c>
      <c r="D27" s="320"/>
      <c r="E27" s="70">
        <f>SUM(E22:E26)</f>
        <v>630</v>
      </c>
      <c r="F27" s="72">
        <f>SUM(F22:F26)</f>
        <v>11.930000000000001</v>
      </c>
      <c r="G27" s="72">
        <f>SUM(G22:G26)</f>
        <v>11.059999999999999</v>
      </c>
      <c r="H27" s="72">
        <f>SUM(H22:H26)</f>
        <v>89.13</v>
      </c>
      <c r="I27" s="72">
        <f>SUM(I22:I26)</f>
        <v>501.62</v>
      </c>
      <c r="J27" s="71"/>
      <c r="K27" s="170">
        <f>SUM(K22:K26)</f>
        <v>76.73</v>
      </c>
      <c r="L27" s="163"/>
      <c r="M27" s="109">
        <f t="shared" ref="M27:Y27" si="4">SUM(M22:M26)</f>
        <v>0.52300000000000002</v>
      </c>
      <c r="N27" s="109">
        <f t="shared" si="4"/>
        <v>0.33600000000000002</v>
      </c>
      <c r="O27" s="109">
        <f t="shared" si="4"/>
        <v>46.13</v>
      </c>
      <c r="P27" s="109">
        <f t="shared" si="4"/>
        <v>4.25</v>
      </c>
      <c r="Q27" s="109">
        <f t="shared" si="4"/>
        <v>21.18</v>
      </c>
      <c r="R27" s="109">
        <f t="shared" si="4"/>
        <v>761.85</v>
      </c>
      <c r="S27" s="109">
        <f t="shared" si="4"/>
        <v>868.15</v>
      </c>
      <c r="T27" s="109">
        <f t="shared" si="4"/>
        <v>149.48000000000002</v>
      </c>
      <c r="U27" s="109">
        <f t="shared" si="4"/>
        <v>96.6</v>
      </c>
      <c r="V27" s="109">
        <f t="shared" si="4"/>
        <v>263.45</v>
      </c>
      <c r="W27" s="109">
        <f t="shared" si="4"/>
        <v>9.879999999999999</v>
      </c>
      <c r="X27" s="109">
        <f t="shared" si="4"/>
        <v>47.86</v>
      </c>
      <c r="Y27" s="109">
        <f t="shared" si="4"/>
        <v>21.150000000000002</v>
      </c>
    </row>
    <row r="28" spans="1:25" s="204" customFormat="1" ht="22.05" customHeight="1" x14ac:dyDescent="0.3">
      <c r="A28" s="17"/>
      <c r="B28" s="102"/>
      <c r="C28" s="103"/>
      <c r="D28" s="104"/>
      <c r="E28" s="105"/>
      <c r="F28" s="106"/>
      <c r="G28" s="106"/>
      <c r="H28" s="106"/>
      <c r="I28" s="106"/>
      <c r="J28" s="107"/>
      <c r="K28" s="173"/>
      <c r="L28" s="1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</row>
    <row r="29" spans="1:25" ht="22.05" customHeight="1" x14ac:dyDescent="0.3">
      <c r="A29" s="12"/>
      <c r="B29" s="36"/>
      <c r="C29" s="64"/>
      <c r="D29" s="64"/>
      <c r="E29" s="14"/>
      <c r="F29" s="37"/>
      <c r="G29" s="37"/>
      <c r="H29" s="37"/>
      <c r="I29" s="37"/>
      <c r="J29" s="14"/>
      <c r="K29" s="5"/>
      <c r="L29" s="5"/>
    </row>
    <row r="30" spans="1:25" s="19" customFormat="1" ht="22.05" customHeight="1" x14ac:dyDescent="0.3">
      <c r="A30" s="17"/>
      <c r="B30" s="252" t="s">
        <v>60</v>
      </c>
      <c r="C30" s="252"/>
      <c r="D30" s="252"/>
      <c r="E30" s="252"/>
      <c r="F30" s="252"/>
      <c r="G30" s="252"/>
      <c r="H30" s="252"/>
      <c r="I30" s="252"/>
      <c r="J30" s="252"/>
      <c r="K30" s="252"/>
      <c r="L30" s="18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</row>
    <row r="31" spans="1:25" s="19" customFormat="1" ht="22.05" customHeight="1" x14ac:dyDescent="0.3">
      <c r="A31" s="17"/>
      <c r="B31" s="257" t="s">
        <v>73</v>
      </c>
      <c r="C31" s="259" t="s">
        <v>1</v>
      </c>
      <c r="D31" s="260"/>
      <c r="E31" s="257" t="s">
        <v>2</v>
      </c>
      <c r="F31" s="255" t="s">
        <v>3</v>
      </c>
      <c r="G31" s="256"/>
      <c r="H31" s="313"/>
      <c r="I31" s="253" t="s">
        <v>145</v>
      </c>
      <c r="J31" s="252" t="s">
        <v>0</v>
      </c>
      <c r="K31" s="314" t="s">
        <v>185</v>
      </c>
      <c r="L31" s="166"/>
      <c r="M31" s="307" t="s">
        <v>159</v>
      </c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9"/>
    </row>
    <row r="32" spans="1:25" s="19" customFormat="1" ht="43.2" customHeight="1" x14ac:dyDescent="0.3">
      <c r="A32" s="17"/>
      <c r="B32" s="258"/>
      <c r="C32" s="261"/>
      <c r="D32" s="262"/>
      <c r="E32" s="258"/>
      <c r="F32" s="63" t="s">
        <v>142</v>
      </c>
      <c r="G32" s="63" t="s">
        <v>143</v>
      </c>
      <c r="H32" s="63" t="s">
        <v>144</v>
      </c>
      <c r="I32" s="254"/>
      <c r="J32" s="252"/>
      <c r="K32" s="315"/>
      <c r="L32" s="167"/>
      <c r="M32" s="310" t="s">
        <v>174</v>
      </c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2"/>
    </row>
    <row r="33" spans="1:25" s="19" customFormat="1" ht="22.05" customHeight="1" x14ac:dyDescent="0.3">
      <c r="A33" s="17"/>
      <c r="B33" s="316" t="s">
        <v>76</v>
      </c>
      <c r="C33" s="317"/>
      <c r="D33" s="317"/>
      <c r="E33" s="317"/>
      <c r="F33" s="317"/>
      <c r="G33" s="317"/>
      <c r="H33" s="317"/>
      <c r="I33" s="317"/>
      <c r="J33" s="317"/>
      <c r="K33" s="318"/>
      <c r="L33" s="168"/>
      <c r="M33" s="118" t="s">
        <v>146</v>
      </c>
      <c r="N33" s="118" t="s">
        <v>147</v>
      </c>
      <c r="O33" s="118" t="s">
        <v>148</v>
      </c>
      <c r="P33" s="118" t="s">
        <v>150</v>
      </c>
      <c r="Q33" s="118" t="s">
        <v>149</v>
      </c>
      <c r="R33" s="118" t="s">
        <v>151</v>
      </c>
      <c r="S33" s="118" t="s">
        <v>152</v>
      </c>
      <c r="T33" s="118" t="s">
        <v>153</v>
      </c>
      <c r="U33" s="118" t="s">
        <v>154</v>
      </c>
      <c r="V33" s="118" t="s">
        <v>155</v>
      </c>
      <c r="W33" s="118" t="s">
        <v>156</v>
      </c>
      <c r="X33" s="118" t="s">
        <v>157</v>
      </c>
      <c r="Y33" s="118" t="s">
        <v>158</v>
      </c>
    </row>
    <row r="34" spans="1:25" s="19" customFormat="1" ht="22.05" customHeight="1" x14ac:dyDescent="0.3">
      <c r="A34" s="17"/>
      <c r="B34" s="270" t="s">
        <v>4</v>
      </c>
      <c r="C34" s="248" t="s">
        <v>40</v>
      </c>
      <c r="D34" s="325"/>
      <c r="E34" s="51">
        <v>180</v>
      </c>
      <c r="F34" s="52">
        <v>7.5</v>
      </c>
      <c r="G34" s="52">
        <v>11.3</v>
      </c>
      <c r="H34" s="52">
        <v>33.1</v>
      </c>
      <c r="I34" s="52">
        <v>264.8</v>
      </c>
      <c r="J34" s="53" t="s">
        <v>39</v>
      </c>
      <c r="K34" s="169">
        <v>18.45</v>
      </c>
      <c r="L34" s="163"/>
      <c r="M34" s="87">
        <v>0.2</v>
      </c>
      <c r="N34" s="87">
        <v>1</v>
      </c>
      <c r="O34" s="87">
        <v>37.799999999999997</v>
      </c>
      <c r="P34" s="87">
        <v>0.5</v>
      </c>
      <c r="Q34" s="87">
        <v>0</v>
      </c>
      <c r="R34" s="87">
        <v>408.6</v>
      </c>
      <c r="S34" s="87">
        <v>264.60000000000002</v>
      </c>
      <c r="T34" s="87">
        <v>126</v>
      </c>
      <c r="U34" s="87">
        <v>56.7</v>
      </c>
      <c r="V34" s="87">
        <v>214.2</v>
      </c>
      <c r="W34" s="87">
        <v>1.8</v>
      </c>
      <c r="X34" s="87">
        <v>44.1</v>
      </c>
      <c r="Y34" s="87">
        <v>13.5</v>
      </c>
    </row>
    <row r="35" spans="1:25" s="19" customFormat="1" ht="22.05" customHeight="1" x14ac:dyDescent="0.3">
      <c r="A35" s="17"/>
      <c r="B35" s="268"/>
      <c r="C35" s="248" t="s">
        <v>114</v>
      </c>
      <c r="D35" s="249"/>
      <c r="E35" s="51">
        <v>40</v>
      </c>
      <c r="F35" s="52">
        <f>F16/100*40</f>
        <v>3.04</v>
      </c>
      <c r="G35" s="52">
        <f t="shared" ref="G35:I35" si="5">G16/100*40</f>
        <v>0.36000000000000004</v>
      </c>
      <c r="H35" s="52">
        <f t="shared" si="5"/>
        <v>19.880000000000003</v>
      </c>
      <c r="I35" s="52">
        <f t="shared" si="5"/>
        <v>90.399999999999991</v>
      </c>
      <c r="J35" s="51" t="s">
        <v>63</v>
      </c>
      <c r="K35" s="169">
        <v>3.27</v>
      </c>
      <c r="L35" s="163"/>
      <c r="M35" s="87">
        <f>M16/30*40</f>
        <v>0.16400000000000001</v>
      </c>
      <c r="N35" s="87">
        <f t="shared" ref="N35:Y35" si="6">N16/30*40</f>
        <v>0.10133333333333333</v>
      </c>
      <c r="O35" s="87">
        <f t="shared" si="6"/>
        <v>0</v>
      </c>
      <c r="P35" s="87">
        <f t="shared" si="6"/>
        <v>2.2400000000000002</v>
      </c>
      <c r="Q35" s="87">
        <f t="shared" si="6"/>
        <v>0.08</v>
      </c>
      <c r="R35" s="87">
        <f t="shared" si="6"/>
        <v>189.20000000000002</v>
      </c>
      <c r="S35" s="87">
        <f t="shared" si="6"/>
        <v>50</v>
      </c>
      <c r="T35" s="87">
        <f t="shared" si="6"/>
        <v>1.96</v>
      </c>
      <c r="U35" s="87">
        <f t="shared" si="6"/>
        <v>16.400000000000002</v>
      </c>
      <c r="V35" s="87">
        <f t="shared" si="6"/>
        <v>51.6</v>
      </c>
      <c r="W35" s="87">
        <f t="shared" si="6"/>
        <v>1.4400000000000002</v>
      </c>
      <c r="X35" s="87">
        <f t="shared" si="6"/>
        <v>0</v>
      </c>
      <c r="Y35" s="87">
        <f t="shared" si="6"/>
        <v>11.520000000000001</v>
      </c>
    </row>
    <row r="36" spans="1:25" s="19" customFormat="1" ht="22.05" customHeight="1" x14ac:dyDescent="0.3">
      <c r="A36" s="17"/>
      <c r="B36" s="268"/>
      <c r="C36" s="248" t="s">
        <v>118</v>
      </c>
      <c r="D36" s="249"/>
      <c r="E36" s="51">
        <v>30</v>
      </c>
      <c r="F36" s="52">
        <f>F17/100*30</f>
        <v>1.41</v>
      </c>
      <c r="G36" s="52">
        <f t="shared" ref="G36:I36" si="7">G17/100*30</f>
        <v>0.20999999999999996</v>
      </c>
      <c r="H36" s="52">
        <f t="shared" si="7"/>
        <v>14.94</v>
      </c>
      <c r="I36" s="52">
        <f t="shared" si="7"/>
        <v>64.2</v>
      </c>
      <c r="J36" s="51" t="s">
        <v>63</v>
      </c>
      <c r="K36" s="169">
        <v>2.73</v>
      </c>
      <c r="L36" s="163"/>
      <c r="M36" s="87">
        <f>M17/30*30</f>
        <v>0.13</v>
      </c>
      <c r="N36" s="87">
        <f t="shared" ref="N36:Y36" si="8">N17/30*30</f>
        <v>0.1</v>
      </c>
      <c r="O36" s="87">
        <f t="shared" si="8"/>
        <v>0</v>
      </c>
      <c r="P36" s="87">
        <f t="shared" si="8"/>
        <v>1.1399999999999999</v>
      </c>
      <c r="Q36" s="87">
        <f t="shared" si="8"/>
        <v>0.12</v>
      </c>
      <c r="R36" s="87">
        <f t="shared" si="8"/>
        <v>180.9</v>
      </c>
      <c r="S36" s="87">
        <f t="shared" si="8"/>
        <v>21.9</v>
      </c>
      <c r="T36" s="87">
        <f t="shared" si="8"/>
        <v>0.36</v>
      </c>
      <c r="U36" s="87">
        <f t="shared" si="8"/>
        <v>12</v>
      </c>
      <c r="V36" s="87">
        <f t="shared" si="8"/>
        <v>37.5</v>
      </c>
      <c r="W36" s="87">
        <f t="shared" si="8"/>
        <v>0.85</v>
      </c>
      <c r="X36" s="87">
        <f t="shared" si="8"/>
        <v>0</v>
      </c>
      <c r="Y36" s="87">
        <f t="shared" si="8"/>
        <v>9.27</v>
      </c>
    </row>
    <row r="37" spans="1:25" s="19" customFormat="1" ht="22.05" customHeight="1" x14ac:dyDescent="0.3">
      <c r="A37" s="17"/>
      <c r="B37" s="268"/>
      <c r="C37" s="248" t="s">
        <v>8</v>
      </c>
      <c r="D37" s="249"/>
      <c r="E37" s="51">
        <v>200</v>
      </c>
      <c r="F37" s="52">
        <v>3.8</v>
      </c>
      <c r="G37" s="52">
        <v>3.5</v>
      </c>
      <c r="H37" s="52">
        <v>11.1</v>
      </c>
      <c r="I37" s="52">
        <v>90.8</v>
      </c>
      <c r="J37" s="53" t="s">
        <v>7</v>
      </c>
      <c r="K37" s="169">
        <v>12.47</v>
      </c>
      <c r="L37" s="163"/>
      <c r="M37" s="87">
        <v>0.02</v>
      </c>
      <c r="N37" s="87">
        <v>0.11</v>
      </c>
      <c r="O37" s="87">
        <v>12</v>
      </c>
      <c r="P37" s="87">
        <v>0.2</v>
      </c>
      <c r="Q37" s="87">
        <v>0</v>
      </c>
      <c r="R37" s="87">
        <v>51</v>
      </c>
      <c r="S37" s="87">
        <v>221</v>
      </c>
      <c r="T37" s="87">
        <v>112</v>
      </c>
      <c r="U37" s="87">
        <v>30</v>
      </c>
      <c r="V37" s="87">
        <v>107</v>
      </c>
      <c r="W37" s="87">
        <v>1</v>
      </c>
      <c r="X37" s="87">
        <v>9</v>
      </c>
      <c r="Y37" s="87">
        <v>1.8</v>
      </c>
    </row>
    <row r="38" spans="1:25" s="19" customFormat="1" ht="22.05" customHeight="1" x14ac:dyDescent="0.3">
      <c r="A38" s="17"/>
      <c r="B38" s="269"/>
      <c r="C38" s="248" t="s">
        <v>164</v>
      </c>
      <c r="D38" s="249"/>
      <c r="E38" s="51">
        <v>100</v>
      </c>
      <c r="F38" s="52">
        <v>2.6</v>
      </c>
      <c r="G38" s="52">
        <v>2.5</v>
      </c>
      <c r="H38" s="52">
        <v>16</v>
      </c>
      <c r="I38" s="52">
        <v>95</v>
      </c>
      <c r="J38" s="51" t="s">
        <v>63</v>
      </c>
      <c r="K38" s="169">
        <v>35</v>
      </c>
      <c r="L38" s="163"/>
      <c r="M38" s="87">
        <v>0</v>
      </c>
      <c r="N38" s="87">
        <v>0</v>
      </c>
      <c r="O38" s="87">
        <v>500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</row>
    <row r="39" spans="1:25" s="19" customFormat="1" ht="22.05" customHeight="1" x14ac:dyDescent="0.3">
      <c r="A39" s="17"/>
      <c r="B39" s="47"/>
      <c r="C39" s="263" t="s">
        <v>226</v>
      </c>
      <c r="D39" s="328"/>
      <c r="E39" s="45">
        <f>SUM(E34:E38)</f>
        <v>550</v>
      </c>
      <c r="F39" s="58">
        <f>SUM(F34:F38)</f>
        <v>18.350000000000001</v>
      </c>
      <c r="G39" s="58">
        <f>SUM(G34:G38)</f>
        <v>17.87</v>
      </c>
      <c r="H39" s="58">
        <f>SUM(H34:H38)</f>
        <v>95.02</v>
      </c>
      <c r="I39" s="58">
        <f>SUM(I34:I38)</f>
        <v>605.20000000000005</v>
      </c>
      <c r="J39" s="45"/>
      <c r="K39" s="170">
        <f>SUM(K34:K38)</f>
        <v>71.92</v>
      </c>
      <c r="L39" s="163"/>
      <c r="M39" s="109">
        <f t="shared" ref="M39:Y39" si="9">SUM(M34:M38)</f>
        <v>0.51400000000000001</v>
      </c>
      <c r="N39" s="109">
        <f t="shared" si="9"/>
        <v>1.3113333333333335</v>
      </c>
      <c r="O39" s="109">
        <f t="shared" si="9"/>
        <v>549.79999999999995</v>
      </c>
      <c r="P39" s="109">
        <f t="shared" si="9"/>
        <v>4.08</v>
      </c>
      <c r="Q39" s="109">
        <f t="shared" si="9"/>
        <v>0.2</v>
      </c>
      <c r="R39" s="109">
        <f t="shared" si="9"/>
        <v>829.7</v>
      </c>
      <c r="S39" s="109">
        <f t="shared" si="9"/>
        <v>557.5</v>
      </c>
      <c r="T39" s="109">
        <f t="shared" si="9"/>
        <v>240.32</v>
      </c>
      <c r="U39" s="109">
        <f t="shared" si="9"/>
        <v>115.10000000000001</v>
      </c>
      <c r="V39" s="109">
        <f t="shared" si="9"/>
        <v>410.3</v>
      </c>
      <c r="W39" s="109">
        <f t="shared" si="9"/>
        <v>5.09</v>
      </c>
      <c r="X39" s="109">
        <f t="shared" si="9"/>
        <v>53.1</v>
      </c>
      <c r="Y39" s="109">
        <f t="shared" si="9"/>
        <v>36.090000000000003</v>
      </c>
    </row>
    <row r="40" spans="1:25" s="204" customFormat="1" ht="22.05" customHeight="1" x14ac:dyDescent="0.3">
      <c r="A40" s="17"/>
      <c r="B40" s="214"/>
      <c r="C40" s="40"/>
      <c r="D40" s="75"/>
      <c r="E40" s="214"/>
      <c r="F40" s="97"/>
      <c r="G40" s="97"/>
      <c r="H40" s="97"/>
      <c r="I40" s="97"/>
      <c r="J40" s="214"/>
      <c r="K40" s="173"/>
      <c r="L40" s="1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</row>
    <row r="41" spans="1:25" ht="22.05" customHeight="1" x14ac:dyDescent="0.3">
      <c r="A41" s="12"/>
      <c r="B41" s="36"/>
      <c r="C41" s="272"/>
      <c r="D41" s="272"/>
      <c r="E41" s="37"/>
      <c r="F41" s="37"/>
      <c r="G41" s="37"/>
      <c r="H41" s="37"/>
      <c r="I41" s="37"/>
      <c r="J41" s="15"/>
      <c r="K41" s="5"/>
      <c r="L41" s="5"/>
    </row>
    <row r="42" spans="1:25" s="19" customFormat="1" ht="22.05" customHeight="1" x14ac:dyDescent="0.3">
      <c r="A42" s="17"/>
      <c r="B42" s="252" t="s">
        <v>60</v>
      </c>
      <c r="C42" s="252"/>
      <c r="D42" s="252"/>
      <c r="E42" s="252"/>
      <c r="F42" s="252"/>
      <c r="G42" s="252"/>
      <c r="H42" s="252"/>
      <c r="I42" s="252"/>
      <c r="J42" s="252"/>
      <c r="K42" s="252"/>
      <c r="L42" s="18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</row>
    <row r="43" spans="1:25" s="19" customFormat="1" ht="22.05" customHeight="1" x14ac:dyDescent="0.3">
      <c r="A43" s="17"/>
      <c r="B43" s="257" t="s">
        <v>73</v>
      </c>
      <c r="C43" s="259" t="s">
        <v>1</v>
      </c>
      <c r="D43" s="260"/>
      <c r="E43" s="257" t="s">
        <v>2</v>
      </c>
      <c r="F43" s="255" t="s">
        <v>3</v>
      </c>
      <c r="G43" s="256"/>
      <c r="H43" s="256"/>
      <c r="I43" s="253" t="s">
        <v>145</v>
      </c>
      <c r="J43" s="252" t="s">
        <v>75</v>
      </c>
      <c r="K43" s="314" t="s">
        <v>185</v>
      </c>
      <c r="L43" s="166"/>
      <c r="M43" s="307" t="s">
        <v>159</v>
      </c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9"/>
    </row>
    <row r="44" spans="1:25" s="19" customFormat="1" ht="42.6" customHeight="1" x14ac:dyDescent="0.3">
      <c r="A44" s="17"/>
      <c r="B44" s="258"/>
      <c r="C44" s="261"/>
      <c r="D44" s="262"/>
      <c r="E44" s="258"/>
      <c r="F44" s="63" t="s">
        <v>142</v>
      </c>
      <c r="G44" s="63" t="s">
        <v>143</v>
      </c>
      <c r="H44" s="63" t="s">
        <v>144</v>
      </c>
      <c r="I44" s="254"/>
      <c r="J44" s="252"/>
      <c r="K44" s="315"/>
      <c r="L44" s="167"/>
      <c r="M44" s="310" t="s">
        <v>175</v>
      </c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2"/>
    </row>
    <row r="45" spans="1:25" s="19" customFormat="1" ht="22.05" customHeight="1" x14ac:dyDescent="0.3">
      <c r="A45" s="17"/>
      <c r="B45" s="316" t="s">
        <v>89</v>
      </c>
      <c r="C45" s="317"/>
      <c r="D45" s="317"/>
      <c r="E45" s="317"/>
      <c r="F45" s="317"/>
      <c r="G45" s="317"/>
      <c r="H45" s="317"/>
      <c r="I45" s="317"/>
      <c r="J45" s="317"/>
      <c r="K45" s="318"/>
      <c r="L45" s="168"/>
      <c r="M45" s="118" t="s">
        <v>146</v>
      </c>
      <c r="N45" s="118" t="s">
        <v>147</v>
      </c>
      <c r="O45" s="118" t="s">
        <v>148</v>
      </c>
      <c r="P45" s="118" t="s">
        <v>150</v>
      </c>
      <c r="Q45" s="118" t="s">
        <v>149</v>
      </c>
      <c r="R45" s="118" t="s">
        <v>151</v>
      </c>
      <c r="S45" s="118" t="s">
        <v>152</v>
      </c>
      <c r="T45" s="118" t="s">
        <v>153</v>
      </c>
      <c r="U45" s="118" t="s">
        <v>154</v>
      </c>
      <c r="V45" s="118" t="s">
        <v>155</v>
      </c>
      <c r="W45" s="118" t="s">
        <v>156</v>
      </c>
      <c r="X45" s="118" t="s">
        <v>157</v>
      </c>
      <c r="Y45" s="118" t="s">
        <v>158</v>
      </c>
    </row>
    <row r="46" spans="1:25" s="19" customFormat="1" ht="22.05" customHeight="1" x14ac:dyDescent="0.3">
      <c r="A46" s="17"/>
      <c r="B46" s="270" t="s">
        <v>4</v>
      </c>
      <c r="C46" s="248" t="s">
        <v>51</v>
      </c>
      <c r="D46" s="325"/>
      <c r="E46" s="51">
        <v>200</v>
      </c>
      <c r="F46" s="52">
        <v>7.1</v>
      </c>
      <c r="G46" s="52">
        <v>10.7</v>
      </c>
      <c r="H46" s="52">
        <v>46</v>
      </c>
      <c r="I46" s="52">
        <v>308.60000000000002</v>
      </c>
      <c r="J46" s="53" t="s">
        <v>50</v>
      </c>
      <c r="K46" s="169">
        <v>20.12</v>
      </c>
      <c r="L46" s="163"/>
      <c r="M46" s="87">
        <v>0.01</v>
      </c>
      <c r="N46" s="87">
        <v>0.13</v>
      </c>
      <c r="O46" s="87">
        <v>42</v>
      </c>
      <c r="P46" s="87">
        <v>0.6</v>
      </c>
      <c r="Q46" s="87">
        <v>0</v>
      </c>
      <c r="R46" s="87">
        <v>462</v>
      </c>
      <c r="S46" s="87">
        <v>232</v>
      </c>
      <c r="T46" s="87">
        <v>122</v>
      </c>
      <c r="U46" s="87">
        <v>31</v>
      </c>
      <c r="V46" s="87">
        <v>135</v>
      </c>
      <c r="W46" s="87">
        <v>1</v>
      </c>
      <c r="X46" s="87">
        <v>49</v>
      </c>
      <c r="Y46" s="87">
        <v>10</v>
      </c>
    </row>
    <row r="47" spans="1:25" s="19" customFormat="1" ht="22.05" customHeight="1" x14ac:dyDescent="0.3">
      <c r="A47" s="17"/>
      <c r="B47" s="268"/>
      <c r="C47" s="248" t="s">
        <v>16</v>
      </c>
      <c r="D47" s="249"/>
      <c r="E47" s="51">
        <v>15</v>
      </c>
      <c r="F47" s="52">
        <v>3.51</v>
      </c>
      <c r="G47" s="52">
        <v>4.5</v>
      </c>
      <c r="H47" s="52">
        <v>0</v>
      </c>
      <c r="I47" s="52">
        <v>54.5</v>
      </c>
      <c r="J47" s="53" t="s">
        <v>15</v>
      </c>
      <c r="K47" s="169">
        <v>10.97</v>
      </c>
      <c r="L47" s="163"/>
      <c r="M47" s="87">
        <v>0.01</v>
      </c>
      <c r="N47" s="87">
        <v>0.04</v>
      </c>
      <c r="O47" s="87">
        <v>39</v>
      </c>
      <c r="P47" s="87">
        <v>0.04</v>
      </c>
      <c r="Q47" s="87">
        <v>0</v>
      </c>
      <c r="R47" s="87">
        <v>150</v>
      </c>
      <c r="S47" s="87">
        <v>17</v>
      </c>
      <c r="T47" s="87">
        <v>150</v>
      </c>
      <c r="U47" s="87">
        <v>7</v>
      </c>
      <c r="V47" s="87">
        <v>82</v>
      </c>
      <c r="W47" s="87">
        <v>0</v>
      </c>
      <c r="X47" s="87">
        <v>0</v>
      </c>
      <c r="Y47" s="87">
        <v>0</v>
      </c>
    </row>
    <row r="48" spans="1:25" s="19" customFormat="1" ht="22.05" customHeight="1" x14ac:dyDescent="0.3">
      <c r="A48" s="17"/>
      <c r="B48" s="268"/>
      <c r="C48" s="248" t="s">
        <v>114</v>
      </c>
      <c r="D48" s="249"/>
      <c r="E48" s="51">
        <v>42</v>
      </c>
      <c r="F48" s="52">
        <f>F16/100*42</f>
        <v>3.1919999999999997</v>
      </c>
      <c r="G48" s="52">
        <f t="shared" ref="G48:I48" si="10">G16/100*42</f>
        <v>0.37800000000000006</v>
      </c>
      <c r="H48" s="52">
        <f t="shared" si="10"/>
        <v>20.874000000000002</v>
      </c>
      <c r="I48" s="52">
        <f t="shared" si="10"/>
        <v>94.919999999999987</v>
      </c>
      <c r="J48" s="51" t="s">
        <v>63</v>
      </c>
      <c r="K48" s="169">
        <v>3.27</v>
      </c>
      <c r="L48" s="163"/>
      <c r="M48" s="87">
        <f>M16/30*42</f>
        <v>0.17220000000000002</v>
      </c>
      <c r="N48" s="87">
        <f t="shared" ref="N48:Y48" si="11">N16/30*42</f>
        <v>0.10639999999999999</v>
      </c>
      <c r="O48" s="87">
        <f t="shared" si="11"/>
        <v>0</v>
      </c>
      <c r="P48" s="87">
        <f t="shared" si="11"/>
        <v>2.3519999999999999</v>
      </c>
      <c r="Q48" s="87">
        <f t="shared" si="11"/>
        <v>8.4000000000000005E-2</v>
      </c>
      <c r="R48" s="87">
        <f t="shared" si="11"/>
        <v>198.66000000000003</v>
      </c>
      <c r="S48" s="87">
        <f t="shared" si="11"/>
        <v>52.5</v>
      </c>
      <c r="T48" s="87">
        <f t="shared" si="11"/>
        <v>2.0580000000000003</v>
      </c>
      <c r="U48" s="87">
        <f t="shared" si="11"/>
        <v>17.220000000000002</v>
      </c>
      <c r="V48" s="87">
        <f t="shared" si="11"/>
        <v>54.18</v>
      </c>
      <c r="W48" s="87">
        <f t="shared" si="11"/>
        <v>1.5120000000000002</v>
      </c>
      <c r="X48" s="87">
        <f t="shared" si="11"/>
        <v>0</v>
      </c>
      <c r="Y48" s="87">
        <f t="shared" si="11"/>
        <v>12.096000000000002</v>
      </c>
    </row>
    <row r="49" spans="1:25" s="19" customFormat="1" ht="22.05" customHeight="1" x14ac:dyDescent="0.3">
      <c r="A49" s="17"/>
      <c r="B49" s="268"/>
      <c r="C49" s="248" t="s">
        <v>118</v>
      </c>
      <c r="D49" s="249"/>
      <c r="E49" s="51">
        <v>28</v>
      </c>
      <c r="F49" s="52">
        <f>F17/100*28</f>
        <v>1.3160000000000001</v>
      </c>
      <c r="G49" s="52">
        <f t="shared" ref="G49:I49" si="12">G17/100*28</f>
        <v>0.19599999999999998</v>
      </c>
      <c r="H49" s="52">
        <f t="shared" si="12"/>
        <v>13.943999999999999</v>
      </c>
      <c r="I49" s="52">
        <f t="shared" si="12"/>
        <v>59.92</v>
      </c>
      <c r="J49" s="51" t="s">
        <v>63</v>
      </c>
      <c r="K49" s="169">
        <v>2.73</v>
      </c>
      <c r="L49" s="163"/>
      <c r="M49" s="87">
        <f>M17/30*28</f>
        <v>0.12133333333333332</v>
      </c>
      <c r="N49" s="87">
        <f t="shared" ref="N49:Y49" si="13">N17/30*28</f>
        <v>9.3333333333333338E-2</v>
      </c>
      <c r="O49" s="87">
        <f t="shared" si="13"/>
        <v>0</v>
      </c>
      <c r="P49" s="87">
        <f t="shared" si="13"/>
        <v>1.0640000000000001</v>
      </c>
      <c r="Q49" s="87">
        <f t="shared" si="13"/>
        <v>0.112</v>
      </c>
      <c r="R49" s="87">
        <f t="shared" si="13"/>
        <v>168.84</v>
      </c>
      <c r="S49" s="87">
        <f t="shared" si="13"/>
        <v>20.439999999999998</v>
      </c>
      <c r="T49" s="87">
        <f t="shared" si="13"/>
        <v>0.33600000000000002</v>
      </c>
      <c r="U49" s="87">
        <f t="shared" si="13"/>
        <v>11.200000000000001</v>
      </c>
      <c r="V49" s="87">
        <f t="shared" si="13"/>
        <v>35</v>
      </c>
      <c r="W49" s="87">
        <f t="shared" si="13"/>
        <v>0.79333333333333333</v>
      </c>
      <c r="X49" s="87">
        <f t="shared" si="13"/>
        <v>0</v>
      </c>
      <c r="Y49" s="87">
        <f t="shared" si="13"/>
        <v>8.6519999999999992</v>
      </c>
    </row>
    <row r="50" spans="1:25" s="19" customFormat="1" ht="22.05" customHeight="1" x14ac:dyDescent="0.3">
      <c r="A50" s="17"/>
      <c r="B50" s="268"/>
      <c r="C50" s="248" t="s">
        <v>24</v>
      </c>
      <c r="D50" s="249"/>
      <c r="E50" s="51">
        <v>200</v>
      </c>
      <c r="F50" s="52">
        <v>0.2</v>
      </c>
      <c r="G50" s="52">
        <v>0</v>
      </c>
      <c r="H50" s="52">
        <v>6.4</v>
      </c>
      <c r="I50" s="52">
        <v>26.4</v>
      </c>
      <c r="J50" s="53" t="s">
        <v>23</v>
      </c>
      <c r="K50" s="169">
        <v>1.22</v>
      </c>
      <c r="L50" s="163"/>
      <c r="M50" s="87">
        <v>0</v>
      </c>
      <c r="N50" s="87">
        <v>0</v>
      </c>
      <c r="O50" s="87">
        <v>0</v>
      </c>
      <c r="P50" s="87">
        <v>0.1</v>
      </c>
      <c r="Q50" s="87">
        <v>0</v>
      </c>
      <c r="R50" s="87">
        <v>1</v>
      </c>
      <c r="S50" s="87">
        <v>25</v>
      </c>
      <c r="T50" s="87">
        <v>4</v>
      </c>
      <c r="U50" s="87">
        <v>4</v>
      </c>
      <c r="V50" s="87">
        <v>7</v>
      </c>
      <c r="W50" s="87">
        <v>1</v>
      </c>
      <c r="X50" s="87">
        <v>0</v>
      </c>
      <c r="Y50" s="87">
        <v>0</v>
      </c>
    </row>
    <row r="51" spans="1:25" s="19" customFormat="1" ht="22.05" customHeight="1" x14ac:dyDescent="0.3">
      <c r="A51" s="17"/>
      <c r="B51" s="269"/>
      <c r="C51" s="248" t="s">
        <v>91</v>
      </c>
      <c r="D51" s="327"/>
      <c r="E51" s="51">
        <v>75</v>
      </c>
      <c r="F51" s="52">
        <v>4.7</v>
      </c>
      <c r="G51" s="52">
        <v>0.7</v>
      </c>
      <c r="H51" s="52">
        <v>40.5</v>
      </c>
      <c r="I51" s="52">
        <v>188.3</v>
      </c>
      <c r="J51" s="53" t="s">
        <v>63</v>
      </c>
      <c r="K51" s="169">
        <v>30</v>
      </c>
      <c r="L51" s="163"/>
      <c r="M51" s="87">
        <v>0.14000000000000001</v>
      </c>
      <c r="N51" s="87">
        <v>7.0000000000000007E-2</v>
      </c>
      <c r="O51" s="87">
        <v>1.95</v>
      </c>
      <c r="P51" s="87">
        <v>1.75</v>
      </c>
      <c r="Q51" s="87">
        <v>1.67</v>
      </c>
      <c r="R51" s="87">
        <v>818.63</v>
      </c>
      <c r="S51" s="87">
        <v>172.73</v>
      </c>
      <c r="T51" s="87">
        <v>22.52</v>
      </c>
      <c r="U51" s="87">
        <v>11.79</v>
      </c>
      <c r="V51" s="87">
        <v>54.15</v>
      </c>
      <c r="W51" s="87">
        <v>1.49</v>
      </c>
      <c r="X51" s="87">
        <v>0.93</v>
      </c>
      <c r="Y51" s="87">
        <v>2.4900000000000002</v>
      </c>
    </row>
    <row r="52" spans="1:25" s="19" customFormat="1" ht="22.05" customHeight="1" x14ac:dyDescent="0.3">
      <c r="A52" s="17"/>
      <c r="B52" s="69"/>
      <c r="C52" s="319" t="s">
        <v>226</v>
      </c>
      <c r="D52" s="320"/>
      <c r="E52" s="70">
        <f>SUM(E46:E51)</f>
        <v>560</v>
      </c>
      <c r="F52" s="72">
        <f>SUM(F46:F51)</f>
        <v>20.018000000000001</v>
      </c>
      <c r="G52" s="72">
        <f>SUM(G46:G51)</f>
        <v>16.474</v>
      </c>
      <c r="H52" s="72">
        <f>SUM(H46:H51)</f>
        <v>127.718</v>
      </c>
      <c r="I52" s="72">
        <f>SUM(I46:I51)</f>
        <v>732.63999999999987</v>
      </c>
      <c r="J52" s="71"/>
      <c r="K52" s="170">
        <f>SUM(K46:K51)</f>
        <v>68.31</v>
      </c>
      <c r="L52" s="163"/>
      <c r="M52" s="109">
        <f t="shared" ref="M52:Y52" si="14">SUM(M46:M51)</f>
        <v>0.45353333333333334</v>
      </c>
      <c r="N52" s="109">
        <f t="shared" si="14"/>
        <v>0.43973333333333331</v>
      </c>
      <c r="O52" s="109">
        <f t="shared" si="14"/>
        <v>82.95</v>
      </c>
      <c r="P52" s="109">
        <f t="shared" si="14"/>
        <v>5.9059999999999997</v>
      </c>
      <c r="Q52" s="109">
        <f t="shared" si="14"/>
        <v>1.8659999999999999</v>
      </c>
      <c r="R52" s="109">
        <f t="shared" si="14"/>
        <v>1799.13</v>
      </c>
      <c r="S52" s="109">
        <f t="shared" si="14"/>
        <v>519.66999999999996</v>
      </c>
      <c r="T52" s="109">
        <f t="shared" si="14"/>
        <v>300.91399999999999</v>
      </c>
      <c r="U52" s="109">
        <f t="shared" si="14"/>
        <v>82.210000000000008</v>
      </c>
      <c r="V52" s="109">
        <f t="shared" si="14"/>
        <v>367.33</v>
      </c>
      <c r="W52" s="109">
        <f t="shared" si="14"/>
        <v>5.7953333333333337</v>
      </c>
      <c r="X52" s="109">
        <f t="shared" si="14"/>
        <v>49.93</v>
      </c>
      <c r="Y52" s="109">
        <f t="shared" si="14"/>
        <v>33.238000000000007</v>
      </c>
    </row>
    <row r="53" spans="1:25" ht="22.05" customHeight="1" x14ac:dyDescent="0.3">
      <c r="A53" s="12"/>
      <c r="B53" s="36"/>
      <c r="C53" s="64"/>
      <c r="D53" s="64"/>
      <c r="E53" s="14"/>
      <c r="F53" s="37"/>
      <c r="G53" s="37"/>
      <c r="H53" s="37"/>
      <c r="I53" s="37"/>
      <c r="J53" s="14"/>
      <c r="K53" s="5"/>
      <c r="L53" s="5"/>
    </row>
    <row r="54" spans="1:25" ht="22.05" customHeight="1" x14ac:dyDescent="0.3">
      <c r="A54" s="12"/>
      <c r="B54" s="36"/>
      <c r="C54" s="64"/>
      <c r="D54" s="64"/>
      <c r="E54" s="14"/>
      <c r="F54" s="37"/>
      <c r="G54" s="37"/>
      <c r="H54" s="37"/>
      <c r="I54" s="37"/>
      <c r="J54" s="14"/>
      <c r="K54" s="5"/>
      <c r="L54" s="5"/>
    </row>
    <row r="55" spans="1:25" s="19" customFormat="1" ht="22.05" customHeight="1" x14ac:dyDescent="0.3">
      <c r="A55" s="17"/>
      <c r="B55" s="252" t="s">
        <v>60</v>
      </c>
      <c r="C55" s="252"/>
      <c r="D55" s="252"/>
      <c r="E55" s="252"/>
      <c r="F55" s="252"/>
      <c r="G55" s="252"/>
      <c r="H55" s="252"/>
      <c r="I55" s="252"/>
      <c r="J55" s="252"/>
      <c r="K55" s="252"/>
      <c r="L55" s="18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</row>
    <row r="56" spans="1:25" s="19" customFormat="1" ht="22.05" customHeight="1" x14ac:dyDescent="0.3">
      <c r="A56" s="17"/>
      <c r="B56" s="257" t="s">
        <v>73</v>
      </c>
      <c r="C56" s="259" t="s">
        <v>1</v>
      </c>
      <c r="D56" s="260"/>
      <c r="E56" s="257" t="s">
        <v>2</v>
      </c>
      <c r="F56" s="255" t="s">
        <v>3</v>
      </c>
      <c r="G56" s="256"/>
      <c r="H56" s="256"/>
      <c r="I56" s="253" t="s">
        <v>145</v>
      </c>
      <c r="J56" s="252" t="s">
        <v>75</v>
      </c>
      <c r="K56" s="314" t="s">
        <v>185</v>
      </c>
      <c r="L56" s="166"/>
      <c r="M56" s="307" t="s">
        <v>159</v>
      </c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9"/>
    </row>
    <row r="57" spans="1:25" s="19" customFormat="1" ht="43.2" customHeight="1" x14ac:dyDescent="0.3">
      <c r="A57" s="17"/>
      <c r="B57" s="258"/>
      <c r="C57" s="261"/>
      <c r="D57" s="262"/>
      <c r="E57" s="258"/>
      <c r="F57" s="63" t="s">
        <v>142</v>
      </c>
      <c r="G57" s="63" t="s">
        <v>143</v>
      </c>
      <c r="H57" s="63" t="s">
        <v>144</v>
      </c>
      <c r="I57" s="254"/>
      <c r="J57" s="252"/>
      <c r="K57" s="315"/>
      <c r="L57" s="167"/>
      <c r="M57" s="310" t="s">
        <v>176</v>
      </c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2"/>
    </row>
    <row r="58" spans="1:25" s="19" customFormat="1" ht="22.05" customHeight="1" x14ac:dyDescent="0.3">
      <c r="A58" s="17"/>
      <c r="B58" s="316" t="s">
        <v>77</v>
      </c>
      <c r="C58" s="317"/>
      <c r="D58" s="317"/>
      <c r="E58" s="317"/>
      <c r="F58" s="317"/>
      <c r="G58" s="317"/>
      <c r="H58" s="317"/>
      <c r="I58" s="317"/>
      <c r="J58" s="317"/>
      <c r="K58" s="318"/>
      <c r="L58" s="168"/>
      <c r="M58" s="118" t="s">
        <v>146</v>
      </c>
      <c r="N58" s="118" t="s">
        <v>147</v>
      </c>
      <c r="O58" s="118" t="s">
        <v>148</v>
      </c>
      <c r="P58" s="118" t="s">
        <v>150</v>
      </c>
      <c r="Q58" s="118" t="s">
        <v>149</v>
      </c>
      <c r="R58" s="118" t="s">
        <v>151</v>
      </c>
      <c r="S58" s="118" t="s">
        <v>152</v>
      </c>
      <c r="T58" s="118" t="s">
        <v>153</v>
      </c>
      <c r="U58" s="118" t="s">
        <v>154</v>
      </c>
      <c r="V58" s="118" t="s">
        <v>155</v>
      </c>
      <c r="W58" s="118" t="s">
        <v>156</v>
      </c>
      <c r="X58" s="118" t="s">
        <v>157</v>
      </c>
      <c r="Y58" s="118" t="s">
        <v>158</v>
      </c>
    </row>
    <row r="59" spans="1:25" s="19" customFormat="1" ht="22.05" customHeight="1" x14ac:dyDescent="0.3">
      <c r="A59" s="17"/>
      <c r="B59" s="270" t="s">
        <v>4</v>
      </c>
      <c r="C59" s="248" t="s">
        <v>70</v>
      </c>
      <c r="D59" s="325"/>
      <c r="E59" s="51">
        <v>150</v>
      </c>
      <c r="F59" s="52">
        <v>12.61</v>
      </c>
      <c r="G59" s="52">
        <v>19.329999999999998</v>
      </c>
      <c r="H59" s="52">
        <v>3.15</v>
      </c>
      <c r="I59" s="52">
        <v>237.1</v>
      </c>
      <c r="J59" s="53" t="s">
        <v>69</v>
      </c>
      <c r="K59" s="169">
        <v>46.74</v>
      </c>
      <c r="L59" s="163"/>
      <c r="M59" s="87">
        <v>0.06</v>
      </c>
      <c r="N59" s="87">
        <v>0.44</v>
      </c>
      <c r="O59" s="87">
        <v>219</v>
      </c>
      <c r="P59" s="87">
        <v>0.3</v>
      </c>
      <c r="Q59" s="87">
        <v>0</v>
      </c>
      <c r="R59" s="87">
        <v>642</v>
      </c>
      <c r="S59" s="87">
        <v>239</v>
      </c>
      <c r="T59" s="87">
        <v>394</v>
      </c>
      <c r="U59" s="87">
        <v>30</v>
      </c>
      <c r="V59" s="87">
        <v>344</v>
      </c>
      <c r="W59" s="87">
        <v>2</v>
      </c>
      <c r="X59" s="87">
        <v>39</v>
      </c>
      <c r="Y59" s="87">
        <v>24.2</v>
      </c>
    </row>
    <row r="60" spans="1:25" s="19" customFormat="1" ht="22.05" customHeight="1" x14ac:dyDescent="0.3">
      <c r="A60" s="17"/>
      <c r="B60" s="268"/>
      <c r="C60" s="248" t="s">
        <v>16</v>
      </c>
      <c r="D60" s="249"/>
      <c r="E60" s="51">
        <v>15</v>
      </c>
      <c r="F60" s="52">
        <v>3.51</v>
      </c>
      <c r="G60" s="52">
        <v>4.5</v>
      </c>
      <c r="H60" s="52">
        <v>0</v>
      </c>
      <c r="I60" s="52">
        <v>54.5</v>
      </c>
      <c r="J60" s="53" t="s">
        <v>15</v>
      </c>
      <c r="K60" s="169">
        <v>10.97</v>
      </c>
      <c r="L60" s="163"/>
      <c r="M60" s="87">
        <v>0.01</v>
      </c>
      <c r="N60" s="87">
        <v>0.04</v>
      </c>
      <c r="O60" s="87">
        <v>39</v>
      </c>
      <c r="P60" s="87">
        <v>0.04</v>
      </c>
      <c r="Q60" s="87">
        <v>0</v>
      </c>
      <c r="R60" s="87">
        <v>150</v>
      </c>
      <c r="S60" s="87">
        <v>17</v>
      </c>
      <c r="T60" s="87">
        <v>150</v>
      </c>
      <c r="U60" s="87">
        <v>7</v>
      </c>
      <c r="V60" s="87">
        <v>82</v>
      </c>
      <c r="W60" s="87">
        <v>0</v>
      </c>
      <c r="X60" s="87">
        <v>0</v>
      </c>
      <c r="Y60" s="87">
        <v>0</v>
      </c>
    </row>
    <row r="61" spans="1:25" s="19" customFormat="1" ht="22.05" customHeight="1" x14ac:dyDescent="0.3">
      <c r="B61" s="268"/>
      <c r="C61" s="346" t="s">
        <v>25</v>
      </c>
      <c r="D61" s="347"/>
      <c r="E61" s="68">
        <v>10</v>
      </c>
      <c r="F61" s="61">
        <v>0.1</v>
      </c>
      <c r="G61" s="61">
        <v>8.3000000000000007</v>
      </c>
      <c r="H61" s="61">
        <v>0.1</v>
      </c>
      <c r="I61" s="61">
        <v>74.900000000000006</v>
      </c>
      <c r="J61" s="137" t="s">
        <v>225</v>
      </c>
      <c r="K61" s="234">
        <v>7.4</v>
      </c>
      <c r="L61" s="235"/>
      <c r="M61" s="236">
        <v>0</v>
      </c>
      <c r="N61" s="236">
        <v>0</v>
      </c>
      <c r="O61" s="236">
        <v>50</v>
      </c>
      <c r="P61" s="236">
        <v>0.01</v>
      </c>
      <c r="Q61" s="236">
        <v>0</v>
      </c>
      <c r="R61" s="236">
        <v>7</v>
      </c>
      <c r="S61" s="236">
        <v>2</v>
      </c>
      <c r="T61" s="236">
        <v>2</v>
      </c>
      <c r="U61" s="236">
        <v>0</v>
      </c>
      <c r="V61" s="236">
        <v>2</v>
      </c>
      <c r="W61" s="236">
        <v>0</v>
      </c>
      <c r="X61" s="236">
        <v>0</v>
      </c>
      <c r="Y61" s="236">
        <v>0</v>
      </c>
    </row>
    <row r="62" spans="1:25" s="19" customFormat="1" ht="22.05" customHeight="1" x14ac:dyDescent="0.3">
      <c r="A62" s="17"/>
      <c r="B62" s="268"/>
      <c r="C62" s="248" t="s">
        <v>114</v>
      </c>
      <c r="D62" s="249"/>
      <c r="E62" s="51">
        <v>30</v>
      </c>
      <c r="F62" s="52">
        <f>F16/100*30</f>
        <v>2.2799999999999998</v>
      </c>
      <c r="G62" s="52">
        <f t="shared" ref="G62:I62" si="15">G16/100*30</f>
        <v>0.27</v>
      </c>
      <c r="H62" s="52">
        <f t="shared" si="15"/>
        <v>14.910000000000002</v>
      </c>
      <c r="I62" s="52">
        <f t="shared" si="15"/>
        <v>67.8</v>
      </c>
      <c r="J62" s="51" t="s">
        <v>63</v>
      </c>
      <c r="K62" s="169">
        <v>3.82</v>
      </c>
      <c r="L62" s="163"/>
      <c r="M62" s="87">
        <f>M16</f>
        <v>0.123</v>
      </c>
      <c r="N62" s="87">
        <f t="shared" ref="N62:Y62" si="16">N16</f>
        <v>7.5999999999999998E-2</v>
      </c>
      <c r="O62" s="87">
        <f t="shared" si="16"/>
        <v>0</v>
      </c>
      <c r="P62" s="87">
        <f t="shared" si="16"/>
        <v>1.68</v>
      </c>
      <c r="Q62" s="87">
        <f t="shared" si="16"/>
        <v>0.06</v>
      </c>
      <c r="R62" s="87">
        <f t="shared" si="16"/>
        <v>141.9</v>
      </c>
      <c r="S62" s="87">
        <f t="shared" si="16"/>
        <v>37.5</v>
      </c>
      <c r="T62" s="87">
        <f t="shared" si="16"/>
        <v>1.47</v>
      </c>
      <c r="U62" s="87">
        <f t="shared" si="16"/>
        <v>12.3</v>
      </c>
      <c r="V62" s="87">
        <f t="shared" si="16"/>
        <v>38.700000000000003</v>
      </c>
      <c r="W62" s="87">
        <f t="shared" si="16"/>
        <v>1.08</v>
      </c>
      <c r="X62" s="87">
        <f t="shared" si="16"/>
        <v>0</v>
      </c>
      <c r="Y62" s="87">
        <f t="shared" si="16"/>
        <v>8.64</v>
      </c>
    </row>
    <row r="63" spans="1:25" s="19" customFormat="1" ht="22.05" customHeight="1" x14ac:dyDescent="0.3">
      <c r="A63" s="17"/>
      <c r="B63" s="268"/>
      <c r="C63" s="248" t="s">
        <v>118</v>
      </c>
      <c r="D63" s="249"/>
      <c r="E63" s="51">
        <v>28</v>
      </c>
      <c r="F63" s="52">
        <f>F17/100*28</f>
        <v>1.3160000000000001</v>
      </c>
      <c r="G63" s="52">
        <f t="shared" ref="G63:I63" si="17">G17/100*28</f>
        <v>0.19599999999999998</v>
      </c>
      <c r="H63" s="52">
        <f t="shared" si="17"/>
        <v>13.943999999999999</v>
      </c>
      <c r="I63" s="52">
        <f t="shared" si="17"/>
        <v>59.92</v>
      </c>
      <c r="J63" s="51" t="s">
        <v>63</v>
      </c>
      <c r="K63" s="169"/>
      <c r="L63" s="163"/>
      <c r="M63" s="87">
        <f>M17/30*28</f>
        <v>0.12133333333333332</v>
      </c>
      <c r="N63" s="87">
        <f t="shared" ref="N63:Y63" si="18">N17/30*28</f>
        <v>9.3333333333333338E-2</v>
      </c>
      <c r="O63" s="87">
        <f t="shared" si="18"/>
        <v>0</v>
      </c>
      <c r="P63" s="87">
        <f t="shared" si="18"/>
        <v>1.0640000000000001</v>
      </c>
      <c r="Q63" s="87">
        <f t="shared" si="18"/>
        <v>0.112</v>
      </c>
      <c r="R63" s="87">
        <f t="shared" si="18"/>
        <v>168.84</v>
      </c>
      <c r="S63" s="87">
        <f t="shared" si="18"/>
        <v>20.439999999999998</v>
      </c>
      <c r="T63" s="87">
        <f t="shared" si="18"/>
        <v>0.33600000000000002</v>
      </c>
      <c r="U63" s="87">
        <f t="shared" si="18"/>
        <v>11.200000000000001</v>
      </c>
      <c r="V63" s="87">
        <f t="shared" si="18"/>
        <v>35</v>
      </c>
      <c r="W63" s="87">
        <f t="shared" si="18"/>
        <v>0.79333333333333333</v>
      </c>
      <c r="X63" s="87">
        <f t="shared" si="18"/>
        <v>0</v>
      </c>
      <c r="Y63" s="87">
        <f t="shared" si="18"/>
        <v>8.6519999999999992</v>
      </c>
    </row>
    <row r="64" spans="1:25" s="19" customFormat="1" ht="30" customHeight="1" x14ac:dyDescent="0.3">
      <c r="A64" s="17"/>
      <c r="B64" s="268"/>
      <c r="C64" s="348" t="s">
        <v>18</v>
      </c>
      <c r="D64" s="349"/>
      <c r="E64" s="51">
        <v>200</v>
      </c>
      <c r="F64" s="52">
        <v>0.3</v>
      </c>
      <c r="G64" s="52">
        <v>0</v>
      </c>
      <c r="H64" s="52">
        <v>6.7</v>
      </c>
      <c r="I64" s="52">
        <v>27.6</v>
      </c>
      <c r="J64" s="134" t="s">
        <v>17</v>
      </c>
      <c r="K64" s="230">
        <v>3.22</v>
      </c>
      <c r="L64" s="231"/>
      <c r="M64" s="232">
        <v>0</v>
      </c>
      <c r="N64" s="232">
        <v>0.01</v>
      </c>
      <c r="O64" s="232">
        <v>0</v>
      </c>
      <c r="P64" s="232">
        <v>7.0000000000000007E-2</v>
      </c>
      <c r="Q64" s="232">
        <v>1</v>
      </c>
      <c r="R64" s="232">
        <v>2</v>
      </c>
      <c r="S64" s="232">
        <v>36</v>
      </c>
      <c r="T64" s="232">
        <v>6</v>
      </c>
      <c r="U64" s="232">
        <v>5</v>
      </c>
      <c r="V64" s="232">
        <v>8</v>
      </c>
      <c r="W64" s="232">
        <v>1</v>
      </c>
      <c r="X64" s="232">
        <v>0</v>
      </c>
      <c r="Y64" s="232">
        <v>0</v>
      </c>
    </row>
    <row r="65" spans="1:25" s="19" customFormat="1" ht="22.05" customHeight="1" x14ac:dyDescent="0.3">
      <c r="A65" s="17"/>
      <c r="B65" s="69"/>
      <c r="C65" s="319" t="s">
        <v>226</v>
      </c>
      <c r="D65" s="320"/>
      <c r="E65" s="70">
        <f>SUM(E59:E64)</f>
        <v>433</v>
      </c>
      <c r="F65" s="72">
        <f>SUM(F59:F64)</f>
        <v>20.116</v>
      </c>
      <c r="G65" s="72">
        <f>SUM(G59:G64)</f>
        <v>32.595999999999997</v>
      </c>
      <c r="H65" s="72">
        <f>SUM(H59:H64)</f>
        <v>38.804000000000002</v>
      </c>
      <c r="I65" s="72">
        <f>SUM(I59:I64)</f>
        <v>521.82000000000005</v>
      </c>
      <c r="J65" s="71"/>
      <c r="K65" s="170">
        <f>SUM(K59:K64)</f>
        <v>72.149999999999991</v>
      </c>
      <c r="L65" s="163"/>
      <c r="M65" s="109">
        <f t="shared" ref="M65:Y65" si="19">SUM(M59:M64)</f>
        <v>0.31433333333333335</v>
      </c>
      <c r="N65" s="109">
        <f t="shared" si="19"/>
        <v>0.65933333333333333</v>
      </c>
      <c r="O65" s="109">
        <f t="shared" si="19"/>
        <v>308</v>
      </c>
      <c r="P65" s="109">
        <f t="shared" si="19"/>
        <v>3.1639999999999997</v>
      </c>
      <c r="Q65" s="109">
        <f t="shared" si="19"/>
        <v>1.1719999999999999</v>
      </c>
      <c r="R65" s="109">
        <f t="shared" si="19"/>
        <v>1111.74</v>
      </c>
      <c r="S65" s="109">
        <f t="shared" si="19"/>
        <v>351.94</v>
      </c>
      <c r="T65" s="109">
        <f t="shared" si="19"/>
        <v>553.80600000000004</v>
      </c>
      <c r="U65" s="109">
        <f t="shared" si="19"/>
        <v>65.5</v>
      </c>
      <c r="V65" s="109">
        <f t="shared" si="19"/>
        <v>509.7</v>
      </c>
      <c r="W65" s="109">
        <f t="shared" si="19"/>
        <v>4.8733333333333331</v>
      </c>
      <c r="X65" s="109">
        <f t="shared" si="19"/>
        <v>39</v>
      </c>
      <c r="Y65" s="109">
        <f t="shared" si="19"/>
        <v>41.492000000000004</v>
      </c>
    </row>
    <row r="66" spans="1:25" s="19" customFormat="1" ht="22.05" customHeight="1" x14ac:dyDescent="0.3">
      <c r="A66" s="17"/>
      <c r="B66" s="102"/>
      <c r="C66" s="103"/>
      <c r="D66" s="104"/>
      <c r="E66" s="105"/>
      <c r="F66" s="106"/>
      <c r="G66" s="106"/>
      <c r="H66" s="106"/>
      <c r="I66" s="106"/>
      <c r="J66" s="107"/>
      <c r="K66" s="18"/>
      <c r="L66" s="18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</row>
    <row r="67" spans="1:25" s="1" customFormat="1" ht="22.05" customHeight="1" x14ac:dyDescent="0.3">
      <c r="A67" s="12"/>
      <c r="B67" s="36"/>
      <c r="C67" s="64"/>
      <c r="D67" s="64"/>
      <c r="E67" s="14"/>
      <c r="F67" s="37"/>
      <c r="G67" s="37"/>
      <c r="H67" s="37"/>
      <c r="I67" s="37"/>
      <c r="J67" s="14"/>
      <c r="K67" s="5"/>
      <c r="L67" s="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</row>
    <row r="68" spans="1:25" s="19" customFormat="1" ht="22.05" customHeight="1" x14ac:dyDescent="0.3">
      <c r="A68" s="17"/>
      <c r="B68" s="252" t="s">
        <v>61</v>
      </c>
      <c r="C68" s="252"/>
      <c r="D68" s="252"/>
      <c r="E68" s="252"/>
      <c r="F68" s="252"/>
      <c r="G68" s="252"/>
      <c r="H68" s="252"/>
      <c r="I68" s="252"/>
      <c r="J68" s="252"/>
      <c r="K68" s="252"/>
      <c r="L68" s="18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</row>
    <row r="69" spans="1:25" s="19" customFormat="1" ht="22.05" customHeight="1" x14ac:dyDescent="0.3">
      <c r="A69" s="17"/>
      <c r="B69" s="257" t="s">
        <v>73</v>
      </c>
      <c r="C69" s="259" t="s">
        <v>1</v>
      </c>
      <c r="D69" s="260"/>
      <c r="E69" s="257" t="s">
        <v>2</v>
      </c>
      <c r="F69" s="255" t="s">
        <v>3</v>
      </c>
      <c r="G69" s="256"/>
      <c r="H69" s="256"/>
      <c r="I69" s="253" t="s">
        <v>145</v>
      </c>
      <c r="J69" s="252" t="s">
        <v>75</v>
      </c>
      <c r="K69" s="314" t="s">
        <v>185</v>
      </c>
      <c r="L69" s="166"/>
      <c r="M69" s="307" t="s">
        <v>159</v>
      </c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9"/>
    </row>
    <row r="70" spans="1:25" s="19" customFormat="1" ht="42.6" customHeight="1" x14ac:dyDescent="0.3">
      <c r="A70" s="17"/>
      <c r="B70" s="258"/>
      <c r="C70" s="261"/>
      <c r="D70" s="262"/>
      <c r="E70" s="258"/>
      <c r="F70" s="63" t="s">
        <v>142</v>
      </c>
      <c r="G70" s="63" t="s">
        <v>143</v>
      </c>
      <c r="H70" s="63" t="s">
        <v>144</v>
      </c>
      <c r="I70" s="254"/>
      <c r="J70" s="252"/>
      <c r="K70" s="315"/>
      <c r="L70" s="167"/>
      <c r="M70" s="310" t="s">
        <v>92</v>
      </c>
      <c r="N70" s="311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2"/>
    </row>
    <row r="71" spans="1:25" s="19" customFormat="1" ht="22.05" customHeight="1" x14ac:dyDescent="0.3">
      <c r="A71" s="17"/>
      <c r="B71" s="316" t="s">
        <v>92</v>
      </c>
      <c r="C71" s="317"/>
      <c r="D71" s="317"/>
      <c r="E71" s="317"/>
      <c r="F71" s="317"/>
      <c r="G71" s="317"/>
      <c r="H71" s="317"/>
      <c r="I71" s="317"/>
      <c r="J71" s="317"/>
      <c r="K71" s="318"/>
      <c r="L71" s="168"/>
      <c r="M71" s="118" t="s">
        <v>146</v>
      </c>
      <c r="N71" s="118" t="s">
        <v>147</v>
      </c>
      <c r="O71" s="118" t="s">
        <v>148</v>
      </c>
      <c r="P71" s="118" t="s">
        <v>150</v>
      </c>
      <c r="Q71" s="118" t="s">
        <v>149</v>
      </c>
      <c r="R71" s="118" t="s">
        <v>151</v>
      </c>
      <c r="S71" s="118" t="s">
        <v>152</v>
      </c>
      <c r="T71" s="118" t="s">
        <v>153</v>
      </c>
      <c r="U71" s="118" t="s">
        <v>154</v>
      </c>
      <c r="V71" s="118" t="s">
        <v>155</v>
      </c>
      <c r="W71" s="118" t="s">
        <v>156</v>
      </c>
      <c r="X71" s="118" t="s">
        <v>157</v>
      </c>
      <c r="Y71" s="118" t="s">
        <v>158</v>
      </c>
    </row>
    <row r="72" spans="1:25" s="19" customFormat="1" ht="22.05" customHeight="1" x14ac:dyDescent="0.3">
      <c r="A72" s="17"/>
      <c r="B72" s="270" t="s">
        <v>4</v>
      </c>
      <c r="C72" s="248" t="s">
        <v>36</v>
      </c>
      <c r="D72" s="249"/>
      <c r="E72" s="51">
        <v>180</v>
      </c>
      <c r="F72" s="52">
        <v>4.5</v>
      </c>
      <c r="G72" s="52">
        <v>6.2</v>
      </c>
      <c r="H72" s="52">
        <v>22.2</v>
      </c>
      <c r="I72" s="52">
        <v>161.9</v>
      </c>
      <c r="J72" s="53" t="s">
        <v>35</v>
      </c>
      <c r="K72" s="169">
        <v>11.59</v>
      </c>
      <c r="L72" s="163"/>
      <c r="M72" s="87">
        <v>0.1</v>
      </c>
      <c r="N72" s="87">
        <v>0.1</v>
      </c>
      <c r="O72" s="87">
        <v>24.6</v>
      </c>
      <c r="P72" s="87">
        <v>0.4</v>
      </c>
      <c r="Q72" s="87">
        <v>0.7</v>
      </c>
      <c r="R72" s="87">
        <v>393.8</v>
      </c>
      <c r="S72" s="87">
        <v>162</v>
      </c>
      <c r="T72" s="87">
        <v>107.3</v>
      </c>
      <c r="U72" s="87">
        <v>23</v>
      </c>
      <c r="V72" s="87">
        <v>105.1</v>
      </c>
      <c r="W72" s="87">
        <v>0.7</v>
      </c>
      <c r="X72" s="87">
        <v>44.7</v>
      </c>
      <c r="Y72" s="87">
        <v>3.7</v>
      </c>
    </row>
    <row r="73" spans="1:25" s="19" customFormat="1" ht="22.05" customHeight="1" x14ac:dyDescent="0.3">
      <c r="A73" s="17"/>
      <c r="B73" s="268"/>
      <c r="C73" s="280" t="s">
        <v>114</v>
      </c>
      <c r="D73" s="280"/>
      <c r="E73" s="51">
        <v>45</v>
      </c>
      <c r="F73" s="52">
        <f>F16/100*45</f>
        <v>3.42</v>
      </c>
      <c r="G73" s="52">
        <f t="shared" ref="G73:I73" si="20">G16/100*45</f>
        <v>0.40500000000000003</v>
      </c>
      <c r="H73" s="52">
        <f t="shared" si="20"/>
        <v>22.365000000000002</v>
      </c>
      <c r="I73" s="52">
        <f t="shared" si="20"/>
        <v>101.69999999999999</v>
      </c>
      <c r="J73" s="51" t="s">
        <v>63</v>
      </c>
      <c r="K73" s="169">
        <v>2.73</v>
      </c>
      <c r="L73" s="163"/>
      <c r="M73" s="87">
        <f>M16/30*45</f>
        <v>0.18450000000000003</v>
      </c>
      <c r="N73" s="87">
        <f t="shared" ref="N73:Y73" si="21">N16/30*45</f>
        <v>0.11399999999999999</v>
      </c>
      <c r="O73" s="87">
        <f t="shared" si="21"/>
        <v>0</v>
      </c>
      <c r="P73" s="87">
        <f t="shared" si="21"/>
        <v>2.52</v>
      </c>
      <c r="Q73" s="87">
        <f t="shared" si="21"/>
        <v>0.09</v>
      </c>
      <c r="R73" s="87">
        <f t="shared" si="21"/>
        <v>212.85000000000002</v>
      </c>
      <c r="S73" s="87">
        <f t="shared" si="21"/>
        <v>56.25</v>
      </c>
      <c r="T73" s="87">
        <f t="shared" si="21"/>
        <v>2.2050000000000001</v>
      </c>
      <c r="U73" s="87">
        <f t="shared" si="21"/>
        <v>18.450000000000003</v>
      </c>
      <c r="V73" s="87">
        <f t="shared" si="21"/>
        <v>58.050000000000004</v>
      </c>
      <c r="W73" s="87">
        <f t="shared" si="21"/>
        <v>1.62</v>
      </c>
      <c r="X73" s="87">
        <f t="shared" si="21"/>
        <v>0</v>
      </c>
      <c r="Y73" s="87">
        <f t="shared" si="21"/>
        <v>12.96</v>
      </c>
    </row>
    <row r="74" spans="1:25" s="19" customFormat="1" ht="22.05" customHeight="1" x14ac:dyDescent="0.3">
      <c r="A74" s="17"/>
      <c r="B74" s="268"/>
      <c r="C74" s="248" t="s">
        <v>118</v>
      </c>
      <c r="D74" s="249"/>
      <c r="E74" s="51">
        <v>30</v>
      </c>
      <c r="F74" s="52">
        <f>F17/100*30</f>
        <v>1.41</v>
      </c>
      <c r="G74" s="52">
        <f t="shared" ref="G74:I74" si="22">G17/100*30</f>
        <v>0.20999999999999996</v>
      </c>
      <c r="H74" s="52">
        <f t="shared" si="22"/>
        <v>14.94</v>
      </c>
      <c r="I74" s="52">
        <f t="shared" si="22"/>
        <v>64.2</v>
      </c>
      <c r="J74" s="51" t="s">
        <v>63</v>
      </c>
      <c r="K74" s="169"/>
      <c r="L74" s="163"/>
      <c r="M74" s="87">
        <f>M17</f>
        <v>0.13</v>
      </c>
      <c r="N74" s="87">
        <f t="shared" ref="N74:Y74" si="23">N17</f>
        <v>0.1</v>
      </c>
      <c r="O74" s="87">
        <f t="shared" si="23"/>
        <v>0</v>
      </c>
      <c r="P74" s="87">
        <f t="shared" si="23"/>
        <v>1.1399999999999999</v>
      </c>
      <c r="Q74" s="87">
        <f t="shared" si="23"/>
        <v>0.12</v>
      </c>
      <c r="R74" s="87">
        <f t="shared" si="23"/>
        <v>180.9</v>
      </c>
      <c r="S74" s="87">
        <f t="shared" si="23"/>
        <v>21.9</v>
      </c>
      <c r="T74" s="87">
        <f t="shared" si="23"/>
        <v>0.36</v>
      </c>
      <c r="U74" s="87">
        <f t="shared" si="23"/>
        <v>12</v>
      </c>
      <c r="V74" s="87">
        <f t="shared" si="23"/>
        <v>37.5</v>
      </c>
      <c r="W74" s="87">
        <f t="shared" si="23"/>
        <v>0.85</v>
      </c>
      <c r="X74" s="87">
        <f t="shared" si="23"/>
        <v>0</v>
      </c>
      <c r="Y74" s="87">
        <f t="shared" si="23"/>
        <v>9.27</v>
      </c>
    </row>
    <row r="75" spans="1:25" s="19" customFormat="1" ht="22.05" customHeight="1" x14ac:dyDescent="0.3">
      <c r="A75" s="17"/>
      <c r="B75" s="268"/>
      <c r="C75" s="248" t="s">
        <v>12</v>
      </c>
      <c r="D75" s="249"/>
      <c r="E75" s="51">
        <v>200</v>
      </c>
      <c r="F75" s="52">
        <v>3.5</v>
      </c>
      <c r="G75" s="52">
        <v>3.4</v>
      </c>
      <c r="H75" s="52">
        <v>22.3</v>
      </c>
      <c r="I75" s="52">
        <v>133.4</v>
      </c>
      <c r="J75" s="53" t="s">
        <v>11</v>
      </c>
      <c r="K75" s="169">
        <v>14.55</v>
      </c>
      <c r="L75" s="163"/>
      <c r="M75" s="87">
        <v>0</v>
      </c>
      <c r="N75" s="87">
        <v>0.13</v>
      </c>
      <c r="O75" s="87">
        <v>9.6</v>
      </c>
      <c r="P75" s="87">
        <v>0.12</v>
      </c>
      <c r="Q75" s="87">
        <v>0</v>
      </c>
      <c r="R75" s="87">
        <v>50</v>
      </c>
      <c r="S75" s="87">
        <v>199</v>
      </c>
      <c r="T75" s="87">
        <v>108</v>
      </c>
      <c r="U75" s="87">
        <v>26</v>
      </c>
      <c r="V75" s="87">
        <v>95</v>
      </c>
      <c r="W75" s="87">
        <v>1</v>
      </c>
      <c r="X75" s="87">
        <v>2.7</v>
      </c>
      <c r="Y75" s="87">
        <v>1</v>
      </c>
    </row>
    <row r="76" spans="1:25" s="50" customFormat="1" ht="22.05" customHeight="1" x14ac:dyDescent="0.3">
      <c r="A76" s="49"/>
      <c r="B76" s="268"/>
      <c r="C76" s="273" t="s">
        <v>44</v>
      </c>
      <c r="D76" s="274"/>
      <c r="E76" s="54">
        <v>200</v>
      </c>
      <c r="F76" s="55">
        <v>1.1000000000000001</v>
      </c>
      <c r="G76" s="55">
        <v>0.22</v>
      </c>
      <c r="H76" s="55">
        <v>25</v>
      </c>
      <c r="I76" s="55">
        <v>102</v>
      </c>
      <c r="J76" s="56" t="s">
        <v>63</v>
      </c>
      <c r="K76" s="146">
        <v>36</v>
      </c>
      <c r="L76" s="146"/>
      <c r="M76" s="129">
        <v>0.02</v>
      </c>
      <c r="N76" s="129">
        <v>0.02</v>
      </c>
      <c r="O76" s="129">
        <v>0</v>
      </c>
      <c r="P76" s="129">
        <v>0.04</v>
      </c>
      <c r="Q76" s="129">
        <v>4</v>
      </c>
      <c r="R76" s="129">
        <v>12</v>
      </c>
      <c r="S76" s="129">
        <v>240</v>
      </c>
      <c r="T76" s="129">
        <v>14</v>
      </c>
      <c r="U76" s="129">
        <v>8</v>
      </c>
      <c r="V76" s="129">
        <v>14</v>
      </c>
      <c r="W76" s="129">
        <v>2.8</v>
      </c>
      <c r="X76" s="129">
        <v>2</v>
      </c>
      <c r="Y76" s="129">
        <v>0</v>
      </c>
    </row>
    <row r="77" spans="1:25" s="19" customFormat="1" ht="22.05" customHeight="1" x14ac:dyDescent="0.3">
      <c r="A77" s="17"/>
      <c r="B77" s="69"/>
      <c r="C77" s="356" t="s">
        <v>226</v>
      </c>
      <c r="D77" s="355"/>
      <c r="E77" s="70">
        <f>SUM(E72:E76)</f>
        <v>655</v>
      </c>
      <c r="F77" s="72">
        <f>SUM(F72:F76)</f>
        <v>13.93</v>
      </c>
      <c r="G77" s="72">
        <f>SUM(G72:G76)</f>
        <v>10.435</v>
      </c>
      <c r="H77" s="72">
        <f>SUM(H72:H76)</f>
        <v>106.80499999999999</v>
      </c>
      <c r="I77" s="72">
        <f>SUM(I72:I76)</f>
        <v>563.20000000000005</v>
      </c>
      <c r="J77" s="71"/>
      <c r="K77" s="170">
        <f>SUM(K72:K76)</f>
        <v>64.87</v>
      </c>
      <c r="L77" s="163"/>
      <c r="M77" s="109">
        <f t="shared" ref="M77:Y77" si="24">SUM(M72:M76)</f>
        <v>0.43450000000000005</v>
      </c>
      <c r="N77" s="109">
        <f t="shared" si="24"/>
        <v>0.46400000000000002</v>
      </c>
      <c r="O77" s="109">
        <f t="shared" si="24"/>
        <v>34.200000000000003</v>
      </c>
      <c r="P77" s="109">
        <f t="shared" si="24"/>
        <v>4.22</v>
      </c>
      <c r="Q77" s="109">
        <f t="shared" si="24"/>
        <v>4.91</v>
      </c>
      <c r="R77" s="109">
        <f t="shared" si="24"/>
        <v>849.55000000000007</v>
      </c>
      <c r="S77" s="109">
        <f t="shared" si="24"/>
        <v>679.15</v>
      </c>
      <c r="T77" s="109">
        <f t="shared" si="24"/>
        <v>231.86500000000001</v>
      </c>
      <c r="U77" s="109">
        <f t="shared" si="24"/>
        <v>87.45</v>
      </c>
      <c r="V77" s="109">
        <f t="shared" si="24"/>
        <v>309.64999999999998</v>
      </c>
      <c r="W77" s="109">
        <f t="shared" si="24"/>
        <v>6.97</v>
      </c>
      <c r="X77" s="109">
        <f t="shared" si="24"/>
        <v>49.400000000000006</v>
      </c>
      <c r="Y77" s="109">
        <f t="shared" si="24"/>
        <v>26.93</v>
      </c>
    </row>
    <row r="78" spans="1:25" s="19" customFormat="1" ht="22.05" customHeight="1" x14ac:dyDescent="0.3">
      <c r="A78" s="17"/>
      <c r="B78" s="102"/>
      <c r="C78" s="103"/>
      <c r="D78" s="104"/>
      <c r="E78" s="105"/>
      <c r="F78" s="105"/>
      <c r="G78" s="105"/>
      <c r="H78" s="105"/>
      <c r="I78" s="105"/>
      <c r="J78" s="107"/>
      <c r="K78" s="18"/>
      <c r="L78" s="18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</row>
    <row r="79" spans="1:25" s="19" customFormat="1" ht="22.05" customHeight="1" x14ac:dyDescent="0.3">
      <c r="A79" s="17"/>
      <c r="B79" s="102"/>
      <c r="C79" s="103"/>
      <c r="D79" s="104"/>
      <c r="E79" s="105"/>
      <c r="F79" s="105"/>
      <c r="G79" s="105"/>
      <c r="H79" s="105"/>
      <c r="I79" s="105"/>
      <c r="J79" s="107"/>
      <c r="K79" s="18"/>
      <c r="L79" s="18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</row>
    <row r="80" spans="1:25" s="19" customFormat="1" ht="22.05" customHeight="1" x14ac:dyDescent="0.3">
      <c r="A80" s="17"/>
      <c r="B80" s="252" t="s">
        <v>60</v>
      </c>
      <c r="C80" s="252"/>
      <c r="D80" s="252"/>
      <c r="E80" s="252"/>
      <c r="F80" s="252"/>
      <c r="G80" s="252"/>
      <c r="H80" s="252"/>
      <c r="I80" s="252"/>
      <c r="J80" s="252"/>
      <c r="K80" s="252"/>
      <c r="L80" s="18"/>
      <c r="M80" s="322"/>
      <c r="N80" s="322"/>
      <c r="O80" s="322"/>
      <c r="P80" s="322"/>
      <c r="Q80" s="322"/>
      <c r="R80" s="322"/>
      <c r="S80" s="322"/>
      <c r="T80" s="322"/>
      <c r="U80" s="322"/>
      <c r="V80" s="322"/>
      <c r="W80" s="322"/>
      <c r="X80" s="322"/>
      <c r="Y80" s="322"/>
    </row>
    <row r="81" spans="1:25" s="19" customFormat="1" ht="22.05" customHeight="1" x14ac:dyDescent="0.3">
      <c r="A81" s="17"/>
      <c r="B81" s="257" t="s">
        <v>73</v>
      </c>
      <c r="C81" s="259" t="s">
        <v>1</v>
      </c>
      <c r="D81" s="260"/>
      <c r="E81" s="257" t="s">
        <v>2</v>
      </c>
      <c r="F81" s="255" t="s">
        <v>3</v>
      </c>
      <c r="G81" s="256"/>
      <c r="H81" s="313"/>
      <c r="I81" s="253" t="s">
        <v>145</v>
      </c>
      <c r="J81" s="252" t="s">
        <v>0</v>
      </c>
      <c r="K81" s="314" t="s">
        <v>185</v>
      </c>
      <c r="L81" s="166"/>
      <c r="M81" s="307" t="s">
        <v>159</v>
      </c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9"/>
    </row>
    <row r="82" spans="1:25" s="19" customFormat="1" ht="43.8" customHeight="1" x14ac:dyDescent="0.3">
      <c r="A82" s="17"/>
      <c r="B82" s="258"/>
      <c r="C82" s="261"/>
      <c r="D82" s="262"/>
      <c r="E82" s="258"/>
      <c r="F82" s="89" t="s">
        <v>142</v>
      </c>
      <c r="G82" s="89" t="s">
        <v>143</v>
      </c>
      <c r="H82" s="89" t="s">
        <v>144</v>
      </c>
      <c r="I82" s="254"/>
      <c r="J82" s="252"/>
      <c r="K82" s="315"/>
      <c r="L82" s="167"/>
      <c r="M82" s="310" t="s">
        <v>177</v>
      </c>
      <c r="N82" s="311"/>
      <c r="O82" s="311"/>
      <c r="P82" s="311"/>
      <c r="Q82" s="311"/>
      <c r="R82" s="311"/>
      <c r="S82" s="311"/>
      <c r="T82" s="311"/>
      <c r="U82" s="311"/>
      <c r="V82" s="311"/>
      <c r="W82" s="311"/>
      <c r="X82" s="311"/>
      <c r="Y82" s="312"/>
    </row>
    <row r="83" spans="1:25" s="19" customFormat="1" ht="22.05" customHeight="1" x14ac:dyDescent="0.3">
      <c r="A83" s="17"/>
      <c r="B83" s="316" t="s">
        <v>93</v>
      </c>
      <c r="C83" s="317"/>
      <c r="D83" s="317"/>
      <c r="E83" s="317"/>
      <c r="F83" s="317"/>
      <c r="G83" s="317"/>
      <c r="H83" s="317"/>
      <c r="I83" s="317"/>
      <c r="J83" s="317"/>
      <c r="K83" s="318"/>
      <c r="L83" s="168"/>
      <c r="M83" s="118" t="s">
        <v>146</v>
      </c>
      <c r="N83" s="118" t="s">
        <v>147</v>
      </c>
      <c r="O83" s="118" t="s">
        <v>148</v>
      </c>
      <c r="P83" s="118" t="s">
        <v>150</v>
      </c>
      <c r="Q83" s="118" t="s">
        <v>149</v>
      </c>
      <c r="R83" s="118" t="s">
        <v>151</v>
      </c>
      <c r="S83" s="118" t="s">
        <v>152</v>
      </c>
      <c r="T83" s="118" t="s">
        <v>153</v>
      </c>
      <c r="U83" s="118" t="s">
        <v>154</v>
      </c>
      <c r="V83" s="118" t="s">
        <v>155</v>
      </c>
      <c r="W83" s="118" t="s">
        <v>156</v>
      </c>
      <c r="X83" s="118" t="s">
        <v>157</v>
      </c>
      <c r="Y83" s="118" t="s">
        <v>158</v>
      </c>
    </row>
    <row r="84" spans="1:25" s="19" customFormat="1" ht="22.05" customHeight="1" x14ac:dyDescent="0.3">
      <c r="A84" s="17"/>
      <c r="B84" s="270" t="s">
        <v>4</v>
      </c>
      <c r="C84" s="248" t="s">
        <v>14</v>
      </c>
      <c r="D84" s="325"/>
      <c r="E84" s="51">
        <v>240</v>
      </c>
      <c r="F84" s="52">
        <v>5.69</v>
      </c>
      <c r="G84" s="52">
        <v>6.58</v>
      </c>
      <c r="H84" s="52">
        <v>22.46</v>
      </c>
      <c r="I84" s="52">
        <v>171.82</v>
      </c>
      <c r="J84" s="53" t="s">
        <v>13</v>
      </c>
      <c r="K84" s="169">
        <v>20.05</v>
      </c>
      <c r="L84" s="163"/>
      <c r="M84" s="87">
        <v>0.05</v>
      </c>
      <c r="N84" s="87">
        <v>0.18</v>
      </c>
      <c r="O84" s="87">
        <v>27.36</v>
      </c>
      <c r="P84" s="87">
        <v>0.38</v>
      </c>
      <c r="Q84" s="87">
        <v>0.72</v>
      </c>
      <c r="R84" s="87">
        <v>180.48</v>
      </c>
      <c r="S84" s="87">
        <v>256.08</v>
      </c>
      <c r="T84" s="87">
        <v>184.32</v>
      </c>
      <c r="U84" s="87">
        <v>22.32</v>
      </c>
      <c r="V84" s="87">
        <v>149.76</v>
      </c>
      <c r="W84" s="87">
        <v>0.48</v>
      </c>
      <c r="X84" s="87">
        <v>24.72</v>
      </c>
      <c r="Y84" s="87">
        <v>5.52</v>
      </c>
    </row>
    <row r="85" spans="1:25" s="19" customFormat="1" ht="22.05" customHeight="1" x14ac:dyDescent="0.3">
      <c r="A85" s="17"/>
      <c r="B85" s="268"/>
      <c r="C85" s="248" t="s">
        <v>114</v>
      </c>
      <c r="D85" s="249"/>
      <c r="E85" s="51">
        <v>30</v>
      </c>
      <c r="F85" s="52">
        <f>F16/100*30</f>
        <v>2.2799999999999998</v>
      </c>
      <c r="G85" s="52">
        <f>G16/100*30</f>
        <v>0.27</v>
      </c>
      <c r="H85" s="52">
        <f>H16/100*30</f>
        <v>14.910000000000002</v>
      </c>
      <c r="I85" s="52">
        <f>I16/100*30</f>
        <v>67.8</v>
      </c>
      <c r="J85" s="51" t="s">
        <v>63</v>
      </c>
      <c r="K85" s="169">
        <v>4.3600000000000003</v>
      </c>
      <c r="L85" s="163"/>
      <c r="M85" s="87">
        <f t="shared" ref="M85:Y85" si="25">M16</f>
        <v>0.123</v>
      </c>
      <c r="N85" s="87">
        <f t="shared" si="25"/>
        <v>7.5999999999999998E-2</v>
      </c>
      <c r="O85" s="87">
        <f t="shared" si="25"/>
        <v>0</v>
      </c>
      <c r="P85" s="87">
        <f t="shared" si="25"/>
        <v>1.68</v>
      </c>
      <c r="Q85" s="87">
        <f t="shared" si="25"/>
        <v>0.06</v>
      </c>
      <c r="R85" s="87">
        <f t="shared" si="25"/>
        <v>141.9</v>
      </c>
      <c r="S85" s="87">
        <f t="shared" si="25"/>
        <v>37.5</v>
      </c>
      <c r="T85" s="87">
        <f t="shared" si="25"/>
        <v>1.47</v>
      </c>
      <c r="U85" s="87">
        <f t="shared" si="25"/>
        <v>12.3</v>
      </c>
      <c r="V85" s="87">
        <f t="shared" si="25"/>
        <v>38.700000000000003</v>
      </c>
      <c r="W85" s="87">
        <f t="shared" si="25"/>
        <v>1.08</v>
      </c>
      <c r="X85" s="87">
        <f t="shared" si="25"/>
        <v>0</v>
      </c>
      <c r="Y85" s="87">
        <f t="shared" si="25"/>
        <v>8.64</v>
      </c>
    </row>
    <row r="86" spans="1:25" s="19" customFormat="1" ht="22.05" customHeight="1" x14ac:dyDescent="0.3">
      <c r="A86" s="17"/>
      <c r="B86" s="268"/>
      <c r="C86" s="248" t="s">
        <v>118</v>
      </c>
      <c r="D86" s="249"/>
      <c r="E86" s="51">
        <v>26</v>
      </c>
      <c r="F86" s="52">
        <f>F17/100*26</f>
        <v>1.222</v>
      </c>
      <c r="G86" s="52">
        <f>G17/100*26</f>
        <v>0.182</v>
      </c>
      <c r="H86" s="52">
        <f>H17/100*26</f>
        <v>12.948</v>
      </c>
      <c r="I86" s="52">
        <f>I17/100*26</f>
        <v>55.64</v>
      </c>
      <c r="J86" s="51" t="s">
        <v>63</v>
      </c>
      <c r="K86" s="169">
        <v>2.73</v>
      </c>
      <c r="L86" s="163"/>
      <c r="M86" s="87">
        <f t="shared" ref="M86:Y86" si="26">M17/30*26</f>
        <v>0.11266666666666666</v>
      </c>
      <c r="N86" s="87">
        <f t="shared" si="26"/>
        <v>8.666666666666667E-2</v>
      </c>
      <c r="O86" s="87">
        <f t="shared" si="26"/>
        <v>0</v>
      </c>
      <c r="P86" s="87">
        <f t="shared" si="26"/>
        <v>0.98799999999999999</v>
      </c>
      <c r="Q86" s="87">
        <f t="shared" si="26"/>
        <v>0.10400000000000001</v>
      </c>
      <c r="R86" s="87">
        <f t="shared" si="26"/>
        <v>156.78</v>
      </c>
      <c r="S86" s="87">
        <f t="shared" si="26"/>
        <v>18.98</v>
      </c>
      <c r="T86" s="87">
        <f t="shared" si="26"/>
        <v>0.312</v>
      </c>
      <c r="U86" s="87">
        <f t="shared" si="26"/>
        <v>10.4</v>
      </c>
      <c r="V86" s="87">
        <f t="shared" si="26"/>
        <v>32.5</v>
      </c>
      <c r="W86" s="87">
        <f t="shared" si="26"/>
        <v>0.73666666666666658</v>
      </c>
      <c r="X86" s="87">
        <f t="shared" si="26"/>
        <v>0</v>
      </c>
      <c r="Y86" s="87">
        <f t="shared" si="26"/>
        <v>8.0340000000000007</v>
      </c>
    </row>
    <row r="87" spans="1:25" s="19" customFormat="1" ht="22.05" customHeight="1" x14ac:dyDescent="0.3">
      <c r="A87" s="17"/>
      <c r="B87" s="268"/>
      <c r="C87" s="248" t="s">
        <v>8</v>
      </c>
      <c r="D87" s="249"/>
      <c r="E87" s="51">
        <v>200</v>
      </c>
      <c r="F87" s="52">
        <v>3.8</v>
      </c>
      <c r="G87" s="52">
        <v>3.5</v>
      </c>
      <c r="H87" s="52">
        <v>11.1</v>
      </c>
      <c r="I87" s="52">
        <v>90.8</v>
      </c>
      <c r="J87" s="53" t="s">
        <v>7</v>
      </c>
      <c r="K87" s="169">
        <v>12.47</v>
      </c>
      <c r="L87" s="163"/>
      <c r="M87" s="87">
        <v>0.02</v>
      </c>
      <c r="N87" s="87">
        <v>0.11</v>
      </c>
      <c r="O87" s="87">
        <v>12</v>
      </c>
      <c r="P87" s="87">
        <v>0.2</v>
      </c>
      <c r="Q87" s="87">
        <v>0</v>
      </c>
      <c r="R87" s="87">
        <v>51</v>
      </c>
      <c r="S87" s="87">
        <v>221</v>
      </c>
      <c r="T87" s="87">
        <v>112</v>
      </c>
      <c r="U87" s="87">
        <v>30</v>
      </c>
      <c r="V87" s="87">
        <v>107</v>
      </c>
      <c r="W87" s="87">
        <v>1</v>
      </c>
      <c r="X87" s="87">
        <v>9</v>
      </c>
      <c r="Y87" s="87">
        <v>1.8</v>
      </c>
    </row>
    <row r="88" spans="1:25" s="19" customFormat="1" ht="22.05" customHeight="1" x14ac:dyDescent="0.3">
      <c r="A88" s="17"/>
      <c r="B88" s="268"/>
      <c r="C88" s="280" t="s">
        <v>164</v>
      </c>
      <c r="D88" s="280"/>
      <c r="E88" s="51">
        <v>100</v>
      </c>
      <c r="F88" s="52">
        <v>2.6</v>
      </c>
      <c r="G88" s="52">
        <v>2.5</v>
      </c>
      <c r="H88" s="52">
        <v>16</v>
      </c>
      <c r="I88" s="52">
        <v>95</v>
      </c>
      <c r="J88" s="51" t="s">
        <v>63</v>
      </c>
      <c r="K88" s="145">
        <v>35</v>
      </c>
      <c r="L88" s="171"/>
      <c r="M88" s="87">
        <v>0</v>
      </c>
      <c r="N88" s="87">
        <v>0</v>
      </c>
      <c r="O88" s="87">
        <v>500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</row>
    <row r="89" spans="1:25" s="19" customFormat="1" ht="22.05" customHeight="1" x14ac:dyDescent="0.3">
      <c r="A89" s="17"/>
      <c r="B89" s="69"/>
      <c r="C89" s="319" t="s">
        <v>226</v>
      </c>
      <c r="D89" s="320"/>
      <c r="E89" s="72">
        <f>SUM(E84:E88)</f>
        <v>596</v>
      </c>
      <c r="F89" s="72">
        <f>SUM(F84:F88)</f>
        <v>15.592000000000001</v>
      </c>
      <c r="G89" s="72">
        <f>SUM(G84:G88)</f>
        <v>13.032</v>
      </c>
      <c r="H89" s="72">
        <f>SUM(H84:H88)</f>
        <v>77.418000000000006</v>
      </c>
      <c r="I89" s="72">
        <f>SUM(I84:I88)</f>
        <v>481.06</v>
      </c>
      <c r="J89" s="73"/>
      <c r="K89" s="170">
        <f>SUM(K84:K88)</f>
        <v>74.61</v>
      </c>
      <c r="L89" s="163"/>
      <c r="M89" s="109">
        <f t="shared" ref="M89:Y89" si="27">SUM(M84:M88)</f>
        <v>0.30566666666666664</v>
      </c>
      <c r="N89" s="109">
        <f t="shared" si="27"/>
        <v>0.45266666666666666</v>
      </c>
      <c r="O89" s="109">
        <f t="shared" si="27"/>
        <v>539.36</v>
      </c>
      <c r="P89" s="109">
        <f t="shared" si="27"/>
        <v>3.2480000000000002</v>
      </c>
      <c r="Q89" s="109">
        <f t="shared" si="27"/>
        <v>0.88400000000000001</v>
      </c>
      <c r="R89" s="109">
        <f t="shared" si="27"/>
        <v>530.16</v>
      </c>
      <c r="S89" s="109">
        <f t="shared" si="27"/>
        <v>533.55999999999995</v>
      </c>
      <c r="T89" s="109">
        <f t="shared" si="27"/>
        <v>298.10199999999998</v>
      </c>
      <c r="U89" s="109">
        <f t="shared" si="27"/>
        <v>75.02000000000001</v>
      </c>
      <c r="V89" s="109">
        <f t="shared" si="27"/>
        <v>327.96</v>
      </c>
      <c r="W89" s="109">
        <f t="shared" si="27"/>
        <v>3.2966666666666669</v>
      </c>
      <c r="X89" s="109">
        <f t="shared" si="27"/>
        <v>33.72</v>
      </c>
      <c r="Y89" s="109">
        <f t="shared" si="27"/>
        <v>23.994000000000003</v>
      </c>
    </row>
    <row r="90" spans="1:25" s="204" customFormat="1" ht="22.05" customHeight="1" x14ac:dyDescent="0.3">
      <c r="A90" s="17"/>
      <c r="B90" s="102"/>
      <c r="C90" s="103"/>
      <c r="D90" s="104"/>
      <c r="E90" s="106"/>
      <c r="F90" s="106"/>
      <c r="G90" s="106"/>
      <c r="H90" s="106"/>
      <c r="I90" s="106"/>
      <c r="J90" s="108"/>
      <c r="K90" s="173"/>
      <c r="L90" s="1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</row>
    <row r="91" spans="1:25" s="204" customFormat="1" ht="22.05" customHeight="1" x14ac:dyDescent="0.3">
      <c r="A91" s="17"/>
      <c r="B91" s="102"/>
      <c r="C91" s="103"/>
      <c r="D91" s="104"/>
      <c r="E91" s="106"/>
      <c r="F91" s="106"/>
      <c r="G91" s="106"/>
      <c r="H91" s="106"/>
      <c r="I91" s="106"/>
      <c r="J91" s="108"/>
      <c r="K91" s="173"/>
      <c r="L91" s="1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</row>
    <row r="92" spans="1:25" s="19" customFormat="1" ht="22.05" customHeight="1" x14ac:dyDescent="0.3">
      <c r="A92" s="17"/>
      <c r="B92" s="252" t="s">
        <v>60</v>
      </c>
      <c r="C92" s="252"/>
      <c r="D92" s="252"/>
      <c r="E92" s="252"/>
      <c r="F92" s="252"/>
      <c r="G92" s="252"/>
      <c r="H92" s="252"/>
      <c r="I92" s="252"/>
      <c r="J92" s="252"/>
      <c r="K92" s="252"/>
      <c r="L92" s="18"/>
      <c r="M92" s="322"/>
      <c r="N92" s="322"/>
      <c r="O92" s="322"/>
      <c r="P92" s="322"/>
      <c r="Q92" s="322"/>
      <c r="R92" s="322"/>
      <c r="S92" s="322"/>
      <c r="T92" s="322"/>
      <c r="U92" s="322"/>
      <c r="V92" s="322"/>
      <c r="W92" s="322"/>
      <c r="X92" s="322"/>
      <c r="Y92" s="322"/>
    </row>
    <row r="93" spans="1:25" s="19" customFormat="1" ht="22.05" customHeight="1" x14ac:dyDescent="0.3">
      <c r="A93" s="17"/>
      <c r="B93" s="257" t="s">
        <v>73</v>
      </c>
      <c r="C93" s="259" t="s">
        <v>1</v>
      </c>
      <c r="D93" s="260"/>
      <c r="E93" s="257" t="s">
        <v>2</v>
      </c>
      <c r="F93" s="255" t="s">
        <v>3</v>
      </c>
      <c r="G93" s="256"/>
      <c r="H93" s="313"/>
      <c r="I93" s="253" t="s">
        <v>145</v>
      </c>
      <c r="J93" s="252" t="s">
        <v>0</v>
      </c>
      <c r="K93" s="314" t="s">
        <v>185</v>
      </c>
      <c r="L93" s="166"/>
      <c r="M93" s="307" t="s">
        <v>159</v>
      </c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9"/>
    </row>
    <row r="94" spans="1:25" s="19" customFormat="1" ht="46.8" customHeight="1" x14ac:dyDescent="0.3">
      <c r="A94" s="17"/>
      <c r="B94" s="258"/>
      <c r="C94" s="261"/>
      <c r="D94" s="262"/>
      <c r="E94" s="258"/>
      <c r="F94" s="89" t="s">
        <v>142</v>
      </c>
      <c r="G94" s="89" t="s">
        <v>143</v>
      </c>
      <c r="H94" s="89" t="s">
        <v>144</v>
      </c>
      <c r="I94" s="254"/>
      <c r="J94" s="252"/>
      <c r="K94" s="315"/>
      <c r="L94" s="167"/>
      <c r="M94" s="310" t="s">
        <v>178</v>
      </c>
      <c r="N94" s="311"/>
      <c r="O94" s="311"/>
      <c r="P94" s="311"/>
      <c r="Q94" s="311"/>
      <c r="R94" s="311"/>
      <c r="S94" s="311"/>
      <c r="T94" s="311"/>
      <c r="U94" s="311"/>
      <c r="V94" s="311"/>
      <c r="W94" s="311"/>
      <c r="X94" s="311"/>
      <c r="Y94" s="312"/>
    </row>
    <row r="95" spans="1:25" s="19" customFormat="1" ht="22.05" customHeight="1" x14ac:dyDescent="0.3">
      <c r="A95" s="17"/>
      <c r="B95" s="316" t="s">
        <v>79</v>
      </c>
      <c r="C95" s="317"/>
      <c r="D95" s="317"/>
      <c r="E95" s="317"/>
      <c r="F95" s="317"/>
      <c r="G95" s="317"/>
      <c r="H95" s="317"/>
      <c r="I95" s="317"/>
      <c r="J95" s="317"/>
      <c r="K95" s="318"/>
      <c r="L95" s="168"/>
      <c r="M95" s="118" t="s">
        <v>146</v>
      </c>
      <c r="N95" s="118" t="s">
        <v>147</v>
      </c>
      <c r="O95" s="118" t="s">
        <v>148</v>
      </c>
      <c r="P95" s="118" t="s">
        <v>150</v>
      </c>
      <c r="Q95" s="118" t="s">
        <v>149</v>
      </c>
      <c r="R95" s="118" t="s">
        <v>151</v>
      </c>
      <c r="S95" s="118" t="s">
        <v>152</v>
      </c>
      <c r="T95" s="118" t="s">
        <v>153</v>
      </c>
      <c r="U95" s="118" t="s">
        <v>154</v>
      </c>
      <c r="V95" s="118" t="s">
        <v>155</v>
      </c>
      <c r="W95" s="118" t="s">
        <v>156</v>
      </c>
      <c r="X95" s="118" t="s">
        <v>157</v>
      </c>
      <c r="Y95" s="118" t="s">
        <v>158</v>
      </c>
    </row>
    <row r="96" spans="1:25" s="19" customFormat="1" ht="22.05" customHeight="1" x14ac:dyDescent="0.3">
      <c r="A96" s="17"/>
      <c r="B96" s="270" t="s">
        <v>4</v>
      </c>
      <c r="C96" s="248" t="s">
        <v>38</v>
      </c>
      <c r="D96" s="327"/>
      <c r="E96" s="51">
        <v>170</v>
      </c>
      <c r="F96" s="52">
        <v>7.4</v>
      </c>
      <c r="G96" s="52">
        <v>9</v>
      </c>
      <c r="H96" s="52">
        <v>34</v>
      </c>
      <c r="I96" s="52">
        <v>246.4</v>
      </c>
      <c r="J96" s="53" t="s">
        <v>90</v>
      </c>
      <c r="K96" s="169">
        <v>19.07</v>
      </c>
      <c r="L96" s="163"/>
      <c r="M96" s="87">
        <v>0.12</v>
      </c>
      <c r="N96" s="87">
        <v>0.13</v>
      </c>
      <c r="O96" s="87">
        <v>36.31</v>
      </c>
      <c r="P96" s="87">
        <v>0.54</v>
      </c>
      <c r="Q96" s="87">
        <v>0.68</v>
      </c>
      <c r="R96" s="87">
        <v>369.24</v>
      </c>
      <c r="S96" s="87">
        <v>133.28</v>
      </c>
      <c r="T96" s="87">
        <v>100.64</v>
      </c>
      <c r="U96" s="87">
        <v>11.56</v>
      </c>
      <c r="V96" s="87">
        <v>174.76</v>
      </c>
      <c r="W96" s="87">
        <v>2.72</v>
      </c>
      <c r="X96" s="87">
        <v>42.09</v>
      </c>
      <c r="Y96" s="87">
        <v>27.88</v>
      </c>
    </row>
    <row r="97" spans="1:25" s="19" customFormat="1" ht="22.05" customHeight="1" x14ac:dyDescent="0.3">
      <c r="B97" s="268"/>
      <c r="C97" s="346" t="s">
        <v>25</v>
      </c>
      <c r="D97" s="347"/>
      <c r="E97" s="68">
        <v>10</v>
      </c>
      <c r="F97" s="61">
        <v>0.1</v>
      </c>
      <c r="G97" s="61">
        <v>8.3000000000000007</v>
      </c>
      <c r="H97" s="61">
        <v>0.1</v>
      </c>
      <c r="I97" s="61">
        <v>74.900000000000006</v>
      </c>
      <c r="J97" s="137" t="s">
        <v>225</v>
      </c>
      <c r="K97" s="234">
        <v>7.4</v>
      </c>
      <c r="L97" s="235"/>
      <c r="M97" s="227">
        <v>0</v>
      </c>
      <c r="N97" s="227">
        <v>0</v>
      </c>
      <c r="O97" s="227">
        <v>50</v>
      </c>
      <c r="P97" s="227">
        <v>0.01</v>
      </c>
      <c r="Q97" s="227">
        <v>0</v>
      </c>
      <c r="R97" s="227">
        <v>7</v>
      </c>
      <c r="S97" s="227">
        <v>2</v>
      </c>
      <c r="T97" s="227">
        <v>2</v>
      </c>
      <c r="U97" s="227">
        <v>0</v>
      </c>
      <c r="V97" s="227">
        <v>2</v>
      </c>
      <c r="W97" s="227">
        <v>0</v>
      </c>
      <c r="X97" s="227">
        <v>0</v>
      </c>
      <c r="Y97" s="227">
        <v>0</v>
      </c>
    </row>
    <row r="98" spans="1:25" s="19" customFormat="1" ht="24" customHeight="1" x14ac:dyDescent="0.3">
      <c r="A98" s="17"/>
      <c r="B98" s="268"/>
      <c r="C98" s="248" t="s">
        <v>16</v>
      </c>
      <c r="D98" s="249"/>
      <c r="E98" s="51">
        <v>15</v>
      </c>
      <c r="F98" s="52">
        <v>3.51</v>
      </c>
      <c r="G98" s="52">
        <v>4.5</v>
      </c>
      <c r="H98" s="52">
        <v>0</v>
      </c>
      <c r="I98" s="52">
        <v>54.5</v>
      </c>
      <c r="J98" s="53" t="s">
        <v>15</v>
      </c>
      <c r="K98" s="169">
        <v>10.97</v>
      </c>
      <c r="L98" s="163"/>
      <c r="M98" s="87">
        <v>0.01</v>
      </c>
      <c r="N98" s="87">
        <v>0.04</v>
      </c>
      <c r="O98" s="87">
        <v>39</v>
      </c>
      <c r="P98" s="87">
        <v>0.04</v>
      </c>
      <c r="Q98" s="87">
        <v>0</v>
      </c>
      <c r="R98" s="87">
        <v>150</v>
      </c>
      <c r="S98" s="87">
        <v>17</v>
      </c>
      <c r="T98" s="87">
        <v>150</v>
      </c>
      <c r="U98" s="87">
        <v>7</v>
      </c>
      <c r="V98" s="87">
        <v>82</v>
      </c>
      <c r="W98" s="87">
        <v>0</v>
      </c>
      <c r="X98" s="87">
        <v>0</v>
      </c>
      <c r="Y98" s="87">
        <v>0</v>
      </c>
    </row>
    <row r="99" spans="1:25" s="19" customFormat="1" ht="22.05" customHeight="1" x14ac:dyDescent="0.3">
      <c r="A99" s="17"/>
      <c r="B99" s="268"/>
      <c r="C99" s="248" t="s">
        <v>114</v>
      </c>
      <c r="D99" s="249"/>
      <c r="E99" s="51">
        <v>30</v>
      </c>
      <c r="F99" s="52">
        <f>F16/100*30</f>
        <v>2.2799999999999998</v>
      </c>
      <c r="G99" s="52">
        <f t="shared" ref="G99:I99" si="28">G16/100*30</f>
        <v>0.27</v>
      </c>
      <c r="H99" s="52">
        <f t="shared" si="28"/>
        <v>14.910000000000002</v>
      </c>
      <c r="I99" s="52">
        <f t="shared" si="28"/>
        <v>67.8</v>
      </c>
      <c r="J99" s="51" t="s">
        <v>63</v>
      </c>
      <c r="K99" s="169">
        <v>4.3600000000000003</v>
      </c>
      <c r="L99" s="163"/>
      <c r="M99" s="87">
        <f>M16</f>
        <v>0.123</v>
      </c>
      <c r="N99" s="87">
        <f t="shared" ref="N99:Y99" si="29">N16</f>
        <v>7.5999999999999998E-2</v>
      </c>
      <c r="O99" s="87">
        <f t="shared" si="29"/>
        <v>0</v>
      </c>
      <c r="P99" s="87">
        <f t="shared" si="29"/>
        <v>1.68</v>
      </c>
      <c r="Q99" s="87">
        <f t="shared" si="29"/>
        <v>0.06</v>
      </c>
      <c r="R99" s="87">
        <f t="shared" si="29"/>
        <v>141.9</v>
      </c>
      <c r="S99" s="87">
        <f t="shared" si="29"/>
        <v>37.5</v>
      </c>
      <c r="T99" s="87">
        <f t="shared" si="29"/>
        <v>1.47</v>
      </c>
      <c r="U99" s="87">
        <f t="shared" si="29"/>
        <v>12.3</v>
      </c>
      <c r="V99" s="87">
        <f t="shared" si="29"/>
        <v>38.700000000000003</v>
      </c>
      <c r="W99" s="87">
        <f t="shared" si="29"/>
        <v>1.08</v>
      </c>
      <c r="X99" s="87">
        <f t="shared" si="29"/>
        <v>0</v>
      </c>
      <c r="Y99" s="87">
        <f t="shared" si="29"/>
        <v>8.64</v>
      </c>
    </row>
    <row r="100" spans="1:25" s="19" customFormat="1" ht="30" customHeight="1" x14ac:dyDescent="0.3">
      <c r="A100" s="17"/>
      <c r="B100" s="268"/>
      <c r="C100" s="348" t="s">
        <v>18</v>
      </c>
      <c r="D100" s="349"/>
      <c r="E100" s="51">
        <v>200</v>
      </c>
      <c r="F100" s="52">
        <v>0.3</v>
      </c>
      <c r="G100" s="52">
        <v>0</v>
      </c>
      <c r="H100" s="52">
        <v>6.7</v>
      </c>
      <c r="I100" s="52">
        <v>27.6</v>
      </c>
      <c r="J100" s="134" t="s">
        <v>17</v>
      </c>
      <c r="K100" s="230">
        <v>3.22</v>
      </c>
      <c r="L100" s="231"/>
      <c r="M100" s="232">
        <v>0</v>
      </c>
      <c r="N100" s="232">
        <v>0.01</v>
      </c>
      <c r="O100" s="232">
        <v>0</v>
      </c>
      <c r="P100" s="232">
        <v>7.0000000000000007E-2</v>
      </c>
      <c r="Q100" s="232">
        <v>1</v>
      </c>
      <c r="R100" s="232">
        <v>2</v>
      </c>
      <c r="S100" s="232">
        <v>36</v>
      </c>
      <c r="T100" s="232">
        <v>6</v>
      </c>
      <c r="U100" s="232">
        <v>5</v>
      </c>
      <c r="V100" s="232">
        <v>8</v>
      </c>
      <c r="W100" s="232">
        <v>1</v>
      </c>
      <c r="X100" s="232">
        <v>0</v>
      </c>
      <c r="Y100" s="232">
        <v>0</v>
      </c>
    </row>
    <row r="101" spans="1:25" s="19" customFormat="1" ht="22.05" customHeight="1" x14ac:dyDescent="0.3">
      <c r="A101" s="17"/>
      <c r="B101" s="269"/>
      <c r="C101" s="248" t="s">
        <v>201</v>
      </c>
      <c r="D101" s="249"/>
      <c r="E101" s="51">
        <v>15</v>
      </c>
      <c r="F101" s="52">
        <v>1.05</v>
      </c>
      <c r="G101" s="52">
        <v>5.0999999999999996</v>
      </c>
      <c r="H101" s="52">
        <v>7.95</v>
      </c>
      <c r="I101" s="52">
        <v>82.5</v>
      </c>
      <c r="J101" s="51" t="s">
        <v>63</v>
      </c>
      <c r="K101" s="169">
        <v>18</v>
      </c>
      <c r="L101" s="163"/>
      <c r="M101" s="87">
        <v>0.01</v>
      </c>
      <c r="N101" s="87">
        <v>7.0000000000000007E-2</v>
      </c>
      <c r="O101" s="87">
        <v>3.3</v>
      </c>
      <c r="P101" s="87">
        <v>0.39</v>
      </c>
      <c r="Q101" s="87">
        <v>0</v>
      </c>
      <c r="R101" s="87">
        <v>20.399999999999999</v>
      </c>
      <c r="S101" s="87">
        <v>69.3</v>
      </c>
      <c r="T101" s="87">
        <v>52.8</v>
      </c>
      <c r="U101" s="87">
        <v>10.199999999999999</v>
      </c>
      <c r="V101" s="87">
        <v>46.35</v>
      </c>
      <c r="W101" s="87">
        <v>0.23</v>
      </c>
      <c r="X101" s="87">
        <v>0</v>
      </c>
      <c r="Y101" s="87">
        <v>0</v>
      </c>
    </row>
    <row r="102" spans="1:25" s="19" customFormat="1" ht="22.05" customHeight="1" x14ac:dyDescent="0.3">
      <c r="A102" s="17"/>
      <c r="B102" s="69"/>
      <c r="C102" s="352" t="s">
        <v>226</v>
      </c>
      <c r="D102" s="353"/>
      <c r="E102" s="70">
        <f>SUM(E96:E101)</f>
        <v>440</v>
      </c>
      <c r="F102" s="72">
        <f>SUM(F96:F101)</f>
        <v>14.64</v>
      </c>
      <c r="G102" s="72">
        <f>SUM(G96:G101)</f>
        <v>27.17</v>
      </c>
      <c r="H102" s="72">
        <f>SUM(H96:H101)</f>
        <v>63.660000000000011</v>
      </c>
      <c r="I102" s="72">
        <f>SUM(I96:I101)</f>
        <v>553.70000000000005</v>
      </c>
      <c r="J102" s="71"/>
      <c r="K102" s="170">
        <f>SUM(K96:K101)</f>
        <v>63.019999999999996</v>
      </c>
      <c r="L102" s="163"/>
      <c r="M102" s="109">
        <f t="shared" ref="M102:Y102" si="30">SUM(M96:M101)</f>
        <v>0.26300000000000001</v>
      </c>
      <c r="N102" s="109">
        <f t="shared" si="30"/>
        <v>0.32600000000000001</v>
      </c>
      <c r="O102" s="109">
        <f t="shared" si="30"/>
        <v>128.61000000000001</v>
      </c>
      <c r="P102" s="109">
        <f t="shared" si="30"/>
        <v>2.73</v>
      </c>
      <c r="Q102" s="109">
        <f t="shared" si="30"/>
        <v>1.74</v>
      </c>
      <c r="R102" s="109">
        <f t="shared" si="30"/>
        <v>690.54</v>
      </c>
      <c r="S102" s="109">
        <f t="shared" si="30"/>
        <v>295.08</v>
      </c>
      <c r="T102" s="109">
        <f t="shared" si="30"/>
        <v>312.91000000000003</v>
      </c>
      <c r="U102" s="109">
        <f t="shared" si="30"/>
        <v>46.06</v>
      </c>
      <c r="V102" s="109">
        <f t="shared" si="30"/>
        <v>351.81</v>
      </c>
      <c r="W102" s="109">
        <f t="shared" si="30"/>
        <v>5.0300000000000011</v>
      </c>
      <c r="X102" s="109">
        <f t="shared" si="30"/>
        <v>42.09</v>
      </c>
      <c r="Y102" s="109">
        <f t="shared" si="30"/>
        <v>36.519999999999996</v>
      </c>
    </row>
    <row r="103" spans="1:25" s="19" customFormat="1" ht="22.05" customHeight="1" x14ac:dyDescent="0.3">
      <c r="A103" s="17"/>
      <c r="B103" s="102"/>
      <c r="C103" s="103"/>
      <c r="D103" s="104"/>
      <c r="E103" s="106"/>
      <c r="F103" s="106"/>
      <c r="G103" s="106"/>
      <c r="H103" s="106"/>
      <c r="I103" s="106"/>
      <c r="J103" s="108"/>
      <c r="K103" s="18"/>
      <c r="L103" s="18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</row>
    <row r="104" spans="1:25" s="19" customFormat="1" ht="22.05" customHeight="1" x14ac:dyDescent="0.3">
      <c r="A104" s="17"/>
      <c r="B104" s="102"/>
      <c r="C104" s="103"/>
      <c r="D104" s="104"/>
      <c r="E104" s="105"/>
      <c r="F104" s="106"/>
      <c r="G104" s="106"/>
      <c r="H104" s="105"/>
      <c r="I104" s="105"/>
      <c r="J104" s="107"/>
      <c r="K104" s="18"/>
      <c r="L104" s="18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</row>
    <row r="105" spans="1:25" s="19" customFormat="1" ht="22.05" customHeight="1" x14ac:dyDescent="0.3">
      <c r="A105" s="17"/>
      <c r="B105" s="252" t="s">
        <v>60</v>
      </c>
      <c r="C105" s="252"/>
      <c r="D105" s="252"/>
      <c r="E105" s="252"/>
      <c r="F105" s="252"/>
      <c r="G105" s="252"/>
      <c r="H105" s="252"/>
      <c r="I105" s="252"/>
      <c r="J105" s="252"/>
      <c r="K105" s="252"/>
      <c r="L105" s="18"/>
      <c r="M105" s="322"/>
      <c r="N105" s="322"/>
      <c r="O105" s="322"/>
      <c r="P105" s="322"/>
      <c r="Q105" s="322"/>
      <c r="R105" s="322"/>
      <c r="S105" s="322"/>
      <c r="T105" s="322"/>
      <c r="U105" s="322"/>
      <c r="V105" s="322"/>
      <c r="W105" s="322"/>
      <c r="X105" s="322"/>
      <c r="Y105" s="322"/>
    </row>
    <row r="106" spans="1:25" s="19" customFormat="1" ht="22.05" customHeight="1" x14ac:dyDescent="0.3">
      <c r="A106" s="17"/>
      <c r="B106" s="257" t="s">
        <v>73</v>
      </c>
      <c r="C106" s="259" t="s">
        <v>1</v>
      </c>
      <c r="D106" s="260"/>
      <c r="E106" s="257" t="s">
        <v>2</v>
      </c>
      <c r="F106" s="255" t="s">
        <v>3</v>
      </c>
      <c r="G106" s="256"/>
      <c r="H106" s="313"/>
      <c r="I106" s="253" t="s">
        <v>145</v>
      </c>
      <c r="J106" s="255" t="s">
        <v>0</v>
      </c>
      <c r="K106" s="314" t="s">
        <v>185</v>
      </c>
      <c r="L106" s="166"/>
      <c r="M106" s="307" t="s">
        <v>159</v>
      </c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9"/>
    </row>
    <row r="107" spans="1:25" s="19" customFormat="1" ht="43.8" customHeight="1" x14ac:dyDescent="0.3">
      <c r="A107" s="17"/>
      <c r="B107" s="258"/>
      <c r="C107" s="261"/>
      <c r="D107" s="262"/>
      <c r="E107" s="258"/>
      <c r="F107" s="63" t="s">
        <v>142</v>
      </c>
      <c r="G107" s="63" t="s">
        <v>143</v>
      </c>
      <c r="H107" s="63" t="s">
        <v>144</v>
      </c>
      <c r="I107" s="254"/>
      <c r="J107" s="255"/>
      <c r="K107" s="315"/>
      <c r="L107" s="167"/>
      <c r="M107" s="310" t="s">
        <v>179</v>
      </c>
      <c r="N107" s="311"/>
      <c r="O107" s="311"/>
      <c r="P107" s="311"/>
      <c r="Q107" s="311"/>
      <c r="R107" s="311"/>
      <c r="S107" s="311"/>
      <c r="T107" s="311"/>
      <c r="U107" s="311"/>
      <c r="V107" s="311"/>
      <c r="W107" s="311"/>
      <c r="X107" s="311"/>
      <c r="Y107" s="312"/>
    </row>
    <row r="108" spans="1:25" s="19" customFormat="1" ht="22.05" customHeight="1" x14ac:dyDescent="0.3">
      <c r="A108" s="17"/>
      <c r="B108" s="316" t="s">
        <v>83</v>
      </c>
      <c r="C108" s="317"/>
      <c r="D108" s="317"/>
      <c r="E108" s="317"/>
      <c r="F108" s="317"/>
      <c r="G108" s="317"/>
      <c r="H108" s="317"/>
      <c r="I108" s="317"/>
      <c r="J108" s="317"/>
      <c r="K108" s="318"/>
      <c r="L108" s="168"/>
      <c r="M108" s="118" t="s">
        <v>146</v>
      </c>
      <c r="N108" s="118" t="s">
        <v>147</v>
      </c>
      <c r="O108" s="118" t="s">
        <v>148</v>
      </c>
      <c r="P108" s="118" t="s">
        <v>150</v>
      </c>
      <c r="Q108" s="118" t="s">
        <v>149</v>
      </c>
      <c r="R108" s="118" t="s">
        <v>151</v>
      </c>
      <c r="S108" s="118" t="s">
        <v>152</v>
      </c>
      <c r="T108" s="118" t="s">
        <v>153</v>
      </c>
      <c r="U108" s="118" t="s">
        <v>154</v>
      </c>
      <c r="V108" s="118" t="s">
        <v>155</v>
      </c>
      <c r="W108" s="118" t="s">
        <v>156</v>
      </c>
      <c r="X108" s="118" t="s">
        <v>157</v>
      </c>
      <c r="Y108" s="118" t="s">
        <v>158</v>
      </c>
    </row>
    <row r="109" spans="1:25" s="19" customFormat="1" ht="22.05" customHeight="1" x14ac:dyDescent="0.3">
      <c r="A109" s="17"/>
      <c r="B109" s="270" t="s">
        <v>4</v>
      </c>
      <c r="C109" s="248" t="s">
        <v>141</v>
      </c>
      <c r="D109" s="325"/>
      <c r="E109" s="51">
        <v>224</v>
      </c>
      <c r="F109" s="52">
        <v>15.3</v>
      </c>
      <c r="G109" s="52">
        <v>17.2</v>
      </c>
      <c r="H109" s="52">
        <v>40.5</v>
      </c>
      <c r="I109" s="52">
        <v>381.7</v>
      </c>
      <c r="J109" s="134">
        <v>138</v>
      </c>
      <c r="K109" s="169">
        <v>34.14</v>
      </c>
      <c r="L109" s="163"/>
      <c r="M109" s="87">
        <v>0.09</v>
      </c>
      <c r="N109" s="87">
        <v>0.19</v>
      </c>
      <c r="O109" s="87">
        <v>53.1</v>
      </c>
      <c r="P109" s="87">
        <v>0</v>
      </c>
      <c r="Q109" s="87">
        <v>2.88</v>
      </c>
      <c r="R109" s="87">
        <v>0</v>
      </c>
      <c r="S109" s="87">
        <v>0</v>
      </c>
      <c r="T109" s="87">
        <v>130.91</v>
      </c>
      <c r="U109" s="87">
        <v>43.78</v>
      </c>
      <c r="V109" s="87">
        <v>189.95</v>
      </c>
      <c r="W109" s="87">
        <v>1.49</v>
      </c>
      <c r="X109" s="87">
        <v>0</v>
      </c>
      <c r="Y109" s="87">
        <v>0</v>
      </c>
    </row>
    <row r="110" spans="1:25" s="19" customFormat="1" ht="22.05" customHeight="1" x14ac:dyDescent="0.3">
      <c r="A110" s="17"/>
      <c r="B110" s="268"/>
      <c r="C110" s="248" t="s">
        <v>114</v>
      </c>
      <c r="D110" s="249"/>
      <c r="E110" s="51">
        <v>38</v>
      </c>
      <c r="F110" s="52">
        <f>F16/100*38</f>
        <v>2.8879999999999999</v>
      </c>
      <c r="G110" s="52">
        <f t="shared" ref="G110:I110" si="31">G16/100*38</f>
        <v>0.34200000000000003</v>
      </c>
      <c r="H110" s="52">
        <f t="shared" si="31"/>
        <v>18.886000000000003</v>
      </c>
      <c r="I110" s="52">
        <f t="shared" si="31"/>
        <v>85.88</v>
      </c>
      <c r="J110" s="134" t="s">
        <v>63</v>
      </c>
      <c r="K110" s="169">
        <v>3.64</v>
      </c>
      <c r="L110" s="163"/>
      <c r="M110" s="87">
        <f>M16/30*38</f>
        <v>0.15580000000000002</v>
      </c>
      <c r="N110" s="87">
        <f t="shared" ref="N110:Y110" si="32">N16/30*38</f>
        <v>9.6266666666666667E-2</v>
      </c>
      <c r="O110" s="87">
        <f t="shared" si="32"/>
        <v>0</v>
      </c>
      <c r="P110" s="87">
        <f t="shared" si="32"/>
        <v>2.1280000000000001</v>
      </c>
      <c r="Q110" s="87">
        <f t="shared" si="32"/>
        <v>7.5999999999999998E-2</v>
      </c>
      <c r="R110" s="87">
        <f t="shared" si="32"/>
        <v>179.74</v>
      </c>
      <c r="S110" s="87">
        <f t="shared" si="32"/>
        <v>47.5</v>
      </c>
      <c r="T110" s="87">
        <f t="shared" si="32"/>
        <v>1.8620000000000001</v>
      </c>
      <c r="U110" s="87">
        <f t="shared" si="32"/>
        <v>15.580000000000002</v>
      </c>
      <c r="V110" s="87">
        <f t="shared" si="32"/>
        <v>49.02</v>
      </c>
      <c r="W110" s="87">
        <f t="shared" si="32"/>
        <v>1.3680000000000001</v>
      </c>
      <c r="X110" s="87">
        <f t="shared" si="32"/>
        <v>0</v>
      </c>
      <c r="Y110" s="87">
        <f t="shared" si="32"/>
        <v>10.944000000000001</v>
      </c>
    </row>
    <row r="111" spans="1:25" s="19" customFormat="1" ht="22.05" customHeight="1" x14ac:dyDescent="0.3">
      <c r="A111" s="17"/>
      <c r="B111" s="268"/>
      <c r="C111" s="248" t="s">
        <v>24</v>
      </c>
      <c r="D111" s="249"/>
      <c r="E111" s="51">
        <v>200</v>
      </c>
      <c r="F111" s="52">
        <v>2</v>
      </c>
      <c r="G111" s="52">
        <v>0</v>
      </c>
      <c r="H111" s="52">
        <v>6.4</v>
      </c>
      <c r="I111" s="52">
        <v>26.4</v>
      </c>
      <c r="J111" s="134" t="s">
        <v>23</v>
      </c>
      <c r="K111" s="169">
        <v>1.22</v>
      </c>
      <c r="L111" s="163"/>
      <c r="M111" s="87">
        <v>0</v>
      </c>
      <c r="N111" s="87">
        <v>0</v>
      </c>
      <c r="O111" s="87">
        <v>0</v>
      </c>
      <c r="P111" s="87">
        <v>0.1</v>
      </c>
      <c r="Q111" s="87">
        <v>0</v>
      </c>
      <c r="R111" s="87">
        <v>1</v>
      </c>
      <c r="S111" s="87">
        <v>25</v>
      </c>
      <c r="T111" s="87">
        <v>4</v>
      </c>
      <c r="U111" s="87">
        <v>4</v>
      </c>
      <c r="V111" s="87">
        <v>7</v>
      </c>
      <c r="W111" s="87">
        <v>1</v>
      </c>
      <c r="X111" s="87">
        <v>0</v>
      </c>
      <c r="Y111" s="87">
        <v>0</v>
      </c>
    </row>
    <row r="112" spans="1:25" s="50" customFormat="1" ht="22.05" customHeight="1" x14ac:dyDescent="0.3">
      <c r="A112" s="49"/>
      <c r="B112" s="268"/>
      <c r="C112" s="273" t="s">
        <v>44</v>
      </c>
      <c r="D112" s="274"/>
      <c r="E112" s="54">
        <v>200</v>
      </c>
      <c r="F112" s="55">
        <v>1.1000000000000001</v>
      </c>
      <c r="G112" s="55">
        <v>0.22</v>
      </c>
      <c r="H112" s="55">
        <v>25</v>
      </c>
      <c r="I112" s="55">
        <v>102</v>
      </c>
      <c r="J112" s="56" t="s">
        <v>63</v>
      </c>
      <c r="K112" s="146">
        <v>36</v>
      </c>
      <c r="L112" s="146"/>
      <c r="M112" s="129">
        <v>0.02</v>
      </c>
      <c r="N112" s="129">
        <v>0.02</v>
      </c>
      <c r="O112" s="129">
        <v>0</v>
      </c>
      <c r="P112" s="129">
        <v>0.04</v>
      </c>
      <c r="Q112" s="129">
        <v>4</v>
      </c>
      <c r="R112" s="129">
        <v>12</v>
      </c>
      <c r="S112" s="129">
        <v>240</v>
      </c>
      <c r="T112" s="129">
        <v>14</v>
      </c>
      <c r="U112" s="129">
        <v>8</v>
      </c>
      <c r="V112" s="129">
        <v>14</v>
      </c>
      <c r="W112" s="129">
        <v>2.8</v>
      </c>
      <c r="X112" s="129">
        <v>2</v>
      </c>
      <c r="Y112" s="129">
        <v>0</v>
      </c>
    </row>
    <row r="113" spans="1:25" s="19" customFormat="1" ht="22.05" customHeight="1" x14ac:dyDescent="0.3">
      <c r="A113" s="17"/>
      <c r="B113" s="46"/>
      <c r="C113" s="263" t="s">
        <v>226</v>
      </c>
      <c r="D113" s="328"/>
      <c r="E113" s="45">
        <f>SUM(E109:E112)</f>
        <v>662</v>
      </c>
      <c r="F113" s="58">
        <f>SUM(F109:F112)</f>
        <v>21.288000000000004</v>
      </c>
      <c r="G113" s="58">
        <f>SUM(G109:G112)</f>
        <v>17.761999999999997</v>
      </c>
      <c r="H113" s="58">
        <f>SUM(H109:H112)</f>
        <v>90.786000000000001</v>
      </c>
      <c r="I113" s="58">
        <f>SUM(I109:I112)</f>
        <v>595.98</v>
      </c>
      <c r="J113" s="74"/>
      <c r="K113" s="170">
        <f>SUM(K109:K112)</f>
        <v>75</v>
      </c>
      <c r="L113" s="163"/>
      <c r="M113" s="109">
        <f t="shared" ref="M113:Y113" si="33">SUM(M109:M112)</f>
        <v>0.26580000000000004</v>
      </c>
      <c r="N113" s="109">
        <f t="shared" si="33"/>
        <v>0.30626666666666669</v>
      </c>
      <c r="O113" s="109">
        <f t="shared" si="33"/>
        <v>53.1</v>
      </c>
      <c r="P113" s="109">
        <f t="shared" si="33"/>
        <v>2.2680000000000002</v>
      </c>
      <c r="Q113" s="109">
        <f t="shared" si="33"/>
        <v>6.9559999999999995</v>
      </c>
      <c r="R113" s="109">
        <f t="shared" si="33"/>
        <v>192.74</v>
      </c>
      <c r="S113" s="109">
        <f t="shared" si="33"/>
        <v>312.5</v>
      </c>
      <c r="T113" s="109">
        <f t="shared" si="33"/>
        <v>150.77199999999999</v>
      </c>
      <c r="U113" s="109">
        <f t="shared" si="33"/>
        <v>71.36</v>
      </c>
      <c r="V113" s="109">
        <f t="shared" si="33"/>
        <v>259.97000000000003</v>
      </c>
      <c r="W113" s="109">
        <f t="shared" si="33"/>
        <v>6.6579999999999995</v>
      </c>
      <c r="X113" s="109">
        <f t="shared" si="33"/>
        <v>2</v>
      </c>
      <c r="Y113" s="109">
        <f t="shared" si="33"/>
        <v>10.944000000000001</v>
      </c>
    </row>
    <row r="114" spans="1:25" s="19" customFormat="1" ht="22.05" customHeight="1" x14ac:dyDescent="0.3">
      <c r="A114" s="17"/>
      <c r="B114" s="95"/>
      <c r="C114" s="40"/>
      <c r="D114" s="75"/>
      <c r="E114" s="95"/>
      <c r="F114" s="95"/>
      <c r="G114" s="95"/>
      <c r="H114" s="95"/>
      <c r="I114" s="95"/>
      <c r="J114" s="95"/>
      <c r="K114" s="18"/>
      <c r="L114" s="18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</row>
    <row r="115" spans="1:25" ht="22.05" customHeight="1" x14ac:dyDescent="0.3">
      <c r="A115" s="12"/>
      <c r="B115" s="15"/>
      <c r="C115" s="15"/>
      <c r="D115" s="15"/>
      <c r="E115" s="15"/>
      <c r="F115" s="15"/>
      <c r="G115" s="15"/>
      <c r="H115" s="15"/>
      <c r="I115" s="15"/>
      <c r="J115" s="15"/>
      <c r="K115" s="5"/>
      <c r="L115" s="5"/>
    </row>
    <row r="116" spans="1:25" s="19" customFormat="1" ht="22.05" customHeight="1" x14ac:dyDescent="0.3">
      <c r="A116" s="17"/>
      <c r="B116" s="252" t="s">
        <v>60</v>
      </c>
      <c r="C116" s="252"/>
      <c r="D116" s="252"/>
      <c r="E116" s="252"/>
      <c r="F116" s="252"/>
      <c r="G116" s="252"/>
      <c r="H116" s="252"/>
      <c r="I116" s="252"/>
      <c r="J116" s="252"/>
      <c r="K116" s="252"/>
      <c r="L116" s="18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2"/>
      <c r="X116" s="322"/>
      <c r="Y116" s="322"/>
    </row>
    <row r="117" spans="1:25" s="19" customFormat="1" ht="22.05" customHeight="1" x14ac:dyDescent="0.3">
      <c r="A117" s="17"/>
      <c r="B117" s="257" t="s">
        <v>73</v>
      </c>
      <c r="C117" s="259" t="s">
        <v>1</v>
      </c>
      <c r="D117" s="260"/>
      <c r="E117" s="257" t="s">
        <v>2</v>
      </c>
      <c r="F117" s="255" t="s">
        <v>3</v>
      </c>
      <c r="G117" s="256"/>
      <c r="H117" s="256"/>
      <c r="I117" s="253" t="s">
        <v>145</v>
      </c>
      <c r="J117" s="252" t="s">
        <v>75</v>
      </c>
      <c r="K117" s="314" t="s">
        <v>185</v>
      </c>
      <c r="L117" s="166"/>
      <c r="M117" s="307" t="s">
        <v>159</v>
      </c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9"/>
    </row>
    <row r="118" spans="1:25" s="19" customFormat="1" ht="43.8" customHeight="1" x14ac:dyDescent="0.3">
      <c r="A118" s="17"/>
      <c r="B118" s="258"/>
      <c r="C118" s="261"/>
      <c r="D118" s="262"/>
      <c r="E118" s="258"/>
      <c r="F118" s="63" t="s">
        <v>142</v>
      </c>
      <c r="G118" s="63" t="s">
        <v>143</v>
      </c>
      <c r="H118" s="63" t="s">
        <v>144</v>
      </c>
      <c r="I118" s="254"/>
      <c r="J118" s="252"/>
      <c r="K118" s="315"/>
      <c r="L118" s="167"/>
      <c r="M118" s="310" t="s">
        <v>180</v>
      </c>
      <c r="N118" s="311"/>
      <c r="O118" s="311"/>
      <c r="P118" s="311"/>
      <c r="Q118" s="311"/>
      <c r="R118" s="311"/>
      <c r="S118" s="311"/>
      <c r="T118" s="311"/>
      <c r="U118" s="311"/>
      <c r="V118" s="311"/>
      <c r="W118" s="311"/>
      <c r="X118" s="311"/>
      <c r="Y118" s="312"/>
    </row>
    <row r="119" spans="1:25" s="19" customFormat="1" ht="22.05" customHeight="1" x14ac:dyDescent="0.3">
      <c r="A119" s="12"/>
      <c r="B119" s="245" t="s">
        <v>84</v>
      </c>
      <c r="C119" s="246"/>
      <c r="D119" s="246"/>
      <c r="E119" s="246"/>
      <c r="F119" s="246"/>
      <c r="G119" s="246"/>
      <c r="H119" s="246"/>
      <c r="I119" s="246"/>
      <c r="J119" s="246"/>
      <c r="K119" s="247"/>
      <c r="L119" s="153"/>
      <c r="M119" s="118" t="s">
        <v>146</v>
      </c>
      <c r="N119" s="118" t="s">
        <v>147</v>
      </c>
      <c r="O119" s="118" t="s">
        <v>148</v>
      </c>
      <c r="P119" s="118" t="s">
        <v>150</v>
      </c>
      <c r="Q119" s="118" t="s">
        <v>149</v>
      </c>
      <c r="R119" s="118" t="s">
        <v>151</v>
      </c>
      <c r="S119" s="118" t="s">
        <v>152</v>
      </c>
      <c r="T119" s="118" t="s">
        <v>153</v>
      </c>
      <c r="U119" s="118" t="s">
        <v>154</v>
      </c>
      <c r="V119" s="118" t="s">
        <v>155</v>
      </c>
      <c r="W119" s="118" t="s">
        <v>156</v>
      </c>
      <c r="X119" s="118" t="s">
        <v>157</v>
      </c>
      <c r="Y119" s="118" t="s">
        <v>158</v>
      </c>
    </row>
    <row r="120" spans="1:25" s="19" customFormat="1" ht="22.05" customHeight="1" x14ac:dyDescent="0.3">
      <c r="A120" s="17"/>
      <c r="B120" s="270" t="s">
        <v>4</v>
      </c>
      <c r="C120" s="248" t="s">
        <v>167</v>
      </c>
      <c r="D120" s="249"/>
      <c r="E120" s="51">
        <v>170</v>
      </c>
      <c r="F120" s="52">
        <v>4.47</v>
      </c>
      <c r="G120" s="52">
        <v>4.6900000000000004</v>
      </c>
      <c r="H120" s="52">
        <v>15.64</v>
      </c>
      <c r="I120" s="52">
        <v>122.73</v>
      </c>
      <c r="J120" s="53" t="s">
        <v>28</v>
      </c>
      <c r="K120" s="169">
        <v>11.14</v>
      </c>
      <c r="L120" s="163"/>
      <c r="M120" s="87">
        <v>0.04</v>
      </c>
      <c r="N120" s="87">
        <v>0.1</v>
      </c>
      <c r="O120" s="87">
        <v>19.399999999999999</v>
      </c>
      <c r="P120" s="87">
        <v>0.22</v>
      </c>
      <c r="Q120" s="87">
        <v>0.51</v>
      </c>
      <c r="R120" s="87">
        <v>124.27</v>
      </c>
      <c r="S120" s="87">
        <v>175.4</v>
      </c>
      <c r="T120" s="87">
        <v>142.5</v>
      </c>
      <c r="U120" s="87">
        <v>16.489999999999998</v>
      </c>
      <c r="V120" s="87">
        <v>104.89</v>
      </c>
      <c r="W120" s="87">
        <v>0.3</v>
      </c>
      <c r="X120" s="87">
        <v>17.510000000000002</v>
      </c>
      <c r="Y120" s="87">
        <v>2</v>
      </c>
    </row>
    <row r="121" spans="1:25" s="19" customFormat="1" ht="22.05" customHeight="1" x14ac:dyDescent="0.3">
      <c r="B121" s="268"/>
      <c r="C121" s="346" t="s">
        <v>25</v>
      </c>
      <c r="D121" s="347"/>
      <c r="E121" s="68">
        <v>10</v>
      </c>
      <c r="F121" s="61">
        <v>0.1</v>
      </c>
      <c r="G121" s="61">
        <v>8.3000000000000007</v>
      </c>
      <c r="H121" s="61">
        <v>0.1</v>
      </c>
      <c r="I121" s="61">
        <v>74.900000000000006</v>
      </c>
      <c r="J121" s="137" t="s">
        <v>225</v>
      </c>
      <c r="K121" s="234">
        <v>7.4</v>
      </c>
      <c r="L121" s="235"/>
      <c r="M121" s="227">
        <v>0</v>
      </c>
      <c r="N121" s="227">
        <v>0</v>
      </c>
      <c r="O121" s="227">
        <v>50</v>
      </c>
      <c r="P121" s="227">
        <v>0.01</v>
      </c>
      <c r="Q121" s="227">
        <v>0</v>
      </c>
      <c r="R121" s="227">
        <v>7</v>
      </c>
      <c r="S121" s="227">
        <v>2</v>
      </c>
      <c r="T121" s="227">
        <v>2</v>
      </c>
      <c r="U121" s="227">
        <v>0</v>
      </c>
      <c r="V121" s="227">
        <v>2</v>
      </c>
      <c r="W121" s="227">
        <v>0</v>
      </c>
      <c r="X121" s="227">
        <v>0</v>
      </c>
      <c r="Y121" s="227">
        <v>0</v>
      </c>
    </row>
    <row r="122" spans="1:25" s="19" customFormat="1" ht="22.05" customHeight="1" x14ac:dyDescent="0.3">
      <c r="A122" s="17"/>
      <c r="B122" s="268"/>
      <c r="C122" s="248" t="s">
        <v>114</v>
      </c>
      <c r="D122" s="249"/>
      <c r="E122" s="51">
        <v>46</v>
      </c>
      <c r="F122" s="52">
        <f>F16/100*46</f>
        <v>3.496</v>
      </c>
      <c r="G122" s="52">
        <f t="shared" ref="G122:I122" si="34">G16/100*46</f>
        <v>0.41400000000000003</v>
      </c>
      <c r="H122" s="52">
        <f t="shared" si="34"/>
        <v>22.862000000000002</v>
      </c>
      <c r="I122" s="52">
        <f t="shared" si="34"/>
        <v>103.96</v>
      </c>
      <c r="J122" s="51" t="s">
        <v>63</v>
      </c>
      <c r="K122" s="169">
        <v>3.18</v>
      </c>
      <c r="L122" s="163"/>
      <c r="M122" s="87">
        <f>M16/30*46</f>
        <v>0.18860000000000002</v>
      </c>
      <c r="N122" s="87">
        <f t="shared" ref="N122:Y122" si="35">N16/30*46</f>
        <v>0.11653333333333332</v>
      </c>
      <c r="O122" s="87">
        <f t="shared" si="35"/>
        <v>0</v>
      </c>
      <c r="P122" s="87">
        <f t="shared" si="35"/>
        <v>2.5760000000000001</v>
      </c>
      <c r="Q122" s="87">
        <f t="shared" si="35"/>
        <v>9.1999999999999998E-2</v>
      </c>
      <c r="R122" s="87">
        <f t="shared" si="35"/>
        <v>217.58</v>
      </c>
      <c r="S122" s="87">
        <f t="shared" si="35"/>
        <v>57.5</v>
      </c>
      <c r="T122" s="87">
        <f t="shared" si="35"/>
        <v>2.254</v>
      </c>
      <c r="U122" s="87">
        <f t="shared" si="35"/>
        <v>18.860000000000003</v>
      </c>
      <c r="V122" s="87">
        <f t="shared" si="35"/>
        <v>59.34</v>
      </c>
      <c r="W122" s="87">
        <f t="shared" si="35"/>
        <v>1.6560000000000001</v>
      </c>
      <c r="X122" s="87">
        <f t="shared" si="35"/>
        <v>0</v>
      </c>
      <c r="Y122" s="87">
        <f t="shared" si="35"/>
        <v>13.248000000000001</v>
      </c>
    </row>
    <row r="123" spans="1:25" s="19" customFormat="1" ht="22.05" customHeight="1" x14ac:dyDescent="0.3">
      <c r="A123" s="17"/>
      <c r="B123" s="268"/>
      <c r="C123" s="248" t="s">
        <v>12</v>
      </c>
      <c r="D123" s="249"/>
      <c r="E123" s="51">
        <v>200</v>
      </c>
      <c r="F123" s="52">
        <v>3.5</v>
      </c>
      <c r="G123" s="52">
        <v>3.4</v>
      </c>
      <c r="H123" s="52">
        <v>22.3</v>
      </c>
      <c r="I123" s="52">
        <v>133.4</v>
      </c>
      <c r="J123" s="53" t="s">
        <v>11</v>
      </c>
      <c r="K123" s="169">
        <v>14.55</v>
      </c>
      <c r="L123" s="163"/>
      <c r="M123" s="87">
        <v>0</v>
      </c>
      <c r="N123" s="87">
        <v>0.13</v>
      </c>
      <c r="O123" s="87">
        <v>9.6</v>
      </c>
      <c r="P123" s="87">
        <v>0.12</v>
      </c>
      <c r="Q123" s="87">
        <v>0</v>
      </c>
      <c r="R123" s="87">
        <v>50</v>
      </c>
      <c r="S123" s="87">
        <v>199</v>
      </c>
      <c r="T123" s="87">
        <v>108</v>
      </c>
      <c r="U123" s="87">
        <v>26</v>
      </c>
      <c r="V123" s="87">
        <v>95</v>
      </c>
      <c r="W123" s="87">
        <v>1</v>
      </c>
      <c r="X123" s="87">
        <v>2.7</v>
      </c>
      <c r="Y123" s="87">
        <v>1</v>
      </c>
    </row>
    <row r="124" spans="1:25" s="19" customFormat="1" ht="22.05" customHeight="1" x14ac:dyDescent="0.3">
      <c r="A124" s="17"/>
      <c r="B124" s="268"/>
      <c r="C124" s="280" t="s">
        <v>42</v>
      </c>
      <c r="D124" s="280"/>
      <c r="E124" s="51">
        <v>135</v>
      </c>
      <c r="F124" s="52">
        <f>F126/200*135</f>
        <v>0.54</v>
      </c>
      <c r="G124" s="52">
        <f t="shared" ref="G124:I124" si="36">G126/200*135</f>
        <v>0.54</v>
      </c>
      <c r="H124" s="52">
        <f t="shared" si="36"/>
        <v>13.23</v>
      </c>
      <c r="I124" s="52">
        <f t="shared" si="36"/>
        <v>63.267749999999999</v>
      </c>
      <c r="J124" s="53">
        <v>338</v>
      </c>
      <c r="K124" s="169">
        <v>44</v>
      </c>
      <c r="L124" s="163"/>
      <c r="M124" s="87">
        <f>M126/200*135</f>
        <v>4.7250000000000007E-2</v>
      </c>
      <c r="N124" s="87">
        <f t="shared" ref="N124:Y124" si="37">N126/200*135</f>
        <v>2.7E-2</v>
      </c>
      <c r="O124" s="87">
        <f t="shared" si="37"/>
        <v>6.75</v>
      </c>
      <c r="P124" s="87">
        <f t="shared" si="37"/>
        <v>0.51300000000000001</v>
      </c>
      <c r="Q124" s="87">
        <f t="shared" si="37"/>
        <v>13.5</v>
      </c>
      <c r="R124" s="87">
        <f t="shared" si="37"/>
        <v>35.1</v>
      </c>
      <c r="S124" s="87">
        <f t="shared" si="37"/>
        <v>375.29999999999995</v>
      </c>
      <c r="T124" s="87">
        <f t="shared" si="37"/>
        <v>21.6</v>
      </c>
      <c r="U124" s="87">
        <f t="shared" si="37"/>
        <v>12.15</v>
      </c>
      <c r="V124" s="87">
        <f t="shared" si="37"/>
        <v>14.85</v>
      </c>
      <c r="W124" s="87">
        <f t="shared" si="37"/>
        <v>2.97</v>
      </c>
      <c r="X124" s="87">
        <f t="shared" si="37"/>
        <v>2.7</v>
      </c>
      <c r="Y124" s="87">
        <f t="shared" si="37"/>
        <v>0.40500000000000003</v>
      </c>
    </row>
    <row r="125" spans="1:25" s="19" customFormat="1" ht="22.05" customHeight="1" x14ac:dyDescent="0.3">
      <c r="A125" s="17"/>
      <c r="B125" s="69"/>
      <c r="C125" s="352" t="s">
        <v>226</v>
      </c>
      <c r="D125" s="355"/>
      <c r="E125" s="70">
        <f>SUM(E120:E124)</f>
        <v>561</v>
      </c>
      <c r="F125" s="72">
        <f>SUM(F120:F124)</f>
        <v>12.105999999999998</v>
      </c>
      <c r="G125" s="72">
        <f>SUM(G120:G124)</f>
        <v>17.344000000000001</v>
      </c>
      <c r="H125" s="72">
        <f>SUM(H120:H124)</f>
        <v>74.132000000000005</v>
      </c>
      <c r="I125" s="72">
        <f>SUM(I120:I124)</f>
        <v>498.25774999999999</v>
      </c>
      <c r="J125" s="71"/>
      <c r="K125" s="170">
        <f>SUM(K120:K124)</f>
        <v>80.27</v>
      </c>
      <c r="L125" s="163"/>
      <c r="M125" s="109">
        <f t="shared" ref="M125:Y125" si="38">SUM(M120:M124)</f>
        <v>0.27585000000000004</v>
      </c>
      <c r="N125" s="109">
        <f t="shared" si="38"/>
        <v>0.37353333333333338</v>
      </c>
      <c r="O125" s="109">
        <f t="shared" si="38"/>
        <v>85.75</v>
      </c>
      <c r="P125" s="109">
        <f t="shared" si="38"/>
        <v>3.4390000000000001</v>
      </c>
      <c r="Q125" s="109">
        <f t="shared" si="38"/>
        <v>14.102</v>
      </c>
      <c r="R125" s="109">
        <f t="shared" si="38"/>
        <v>433.95000000000005</v>
      </c>
      <c r="S125" s="109">
        <f t="shared" si="38"/>
        <v>809.19999999999993</v>
      </c>
      <c r="T125" s="109">
        <f t="shared" si="38"/>
        <v>276.35399999999998</v>
      </c>
      <c r="U125" s="109">
        <f t="shared" si="38"/>
        <v>73.5</v>
      </c>
      <c r="V125" s="109">
        <f t="shared" si="38"/>
        <v>276.08000000000004</v>
      </c>
      <c r="W125" s="109">
        <f t="shared" si="38"/>
        <v>5.9260000000000002</v>
      </c>
      <c r="X125" s="109">
        <f t="shared" si="38"/>
        <v>22.91</v>
      </c>
      <c r="Y125" s="109">
        <f t="shared" si="38"/>
        <v>16.653000000000002</v>
      </c>
    </row>
    <row r="126" spans="1:25" s="226" customFormat="1" ht="22.05" customHeight="1" x14ac:dyDescent="0.3">
      <c r="A126" s="209"/>
      <c r="B126" s="233"/>
      <c r="C126" s="345" t="s">
        <v>42</v>
      </c>
      <c r="D126" s="345"/>
      <c r="E126" s="220">
        <v>200</v>
      </c>
      <c r="F126" s="221">
        <v>0.8</v>
      </c>
      <c r="G126" s="221">
        <v>0.8</v>
      </c>
      <c r="H126" s="221">
        <v>19.600000000000001</v>
      </c>
      <c r="I126" s="221">
        <v>93.73</v>
      </c>
      <c r="J126" s="222">
        <v>338</v>
      </c>
      <c r="K126" s="223">
        <v>44</v>
      </c>
      <c r="L126" s="224"/>
      <c r="M126" s="225">
        <v>7.0000000000000007E-2</v>
      </c>
      <c r="N126" s="225">
        <v>0.04</v>
      </c>
      <c r="O126" s="225">
        <v>10</v>
      </c>
      <c r="P126" s="225">
        <v>0.76</v>
      </c>
      <c r="Q126" s="225">
        <v>20</v>
      </c>
      <c r="R126" s="225">
        <v>52</v>
      </c>
      <c r="S126" s="225">
        <v>556</v>
      </c>
      <c r="T126" s="225">
        <v>32</v>
      </c>
      <c r="U126" s="225">
        <v>18</v>
      </c>
      <c r="V126" s="225">
        <v>22</v>
      </c>
      <c r="W126" s="225">
        <v>4.4000000000000004</v>
      </c>
      <c r="X126" s="225">
        <v>4</v>
      </c>
      <c r="Y126" s="225">
        <v>0.6</v>
      </c>
    </row>
    <row r="127" spans="1:25" ht="22.05" customHeight="1" x14ac:dyDescent="0.3">
      <c r="A127" s="12"/>
      <c r="B127" s="36"/>
      <c r="C127" s="64"/>
      <c r="D127" s="64"/>
      <c r="E127" s="14"/>
      <c r="F127" s="37"/>
      <c r="G127" s="37"/>
      <c r="H127" s="37"/>
      <c r="I127" s="37"/>
      <c r="J127" s="14"/>
      <c r="K127" s="5"/>
      <c r="L127" s="5"/>
    </row>
    <row r="128" spans="1:25" s="19" customFormat="1" ht="21.6" customHeight="1" x14ac:dyDescent="0.3">
      <c r="A128" s="12"/>
      <c r="B128" s="36"/>
      <c r="C128" s="64"/>
      <c r="D128" s="64"/>
      <c r="E128" s="14"/>
      <c r="F128" s="14"/>
      <c r="G128" s="14"/>
      <c r="H128" s="14"/>
      <c r="I128" s="14"/>
      <c r="J128" s="14"/>
      <c r="K128" s="18"/>
      <c r="L128" s="18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</row>
    <row r="129" spans="1:25" s="19" customFormat="1" ht="22.05" customHeight="1" x14ac:dyDescent="0.3">
      <c r="A129" s="17"/>
      <c r="B129" s="342" t="s">
        <v>60</v>
      </c>
      <c r="C129" s="342"/>
      <c r="D129" s="342"/>
      <c r="E129" s="342"/>
      <c r="F129" s="342"/>
      <c r="G129" s="342"/>
      <c r="H129" s="342"/>
      <c r="I129" s="342"/>
      <c r="J129" s="342"/>
      <c r="K129" s="342"/>
      <c r="L129" s="176"/>
      <c r="M129" s="321"/>
      <c r="N129" s="321"/>
      <c r="O129" s="321"/>
      <c r="P129" s="321"/>
      <c r="Q129" s="321"/>
      <c r="R129" s="321"/>
      <c r="S129" s="321"/>
      <c r="T129" s="321"/>
      <c r="U129" s="321"/>
      <c r="V129" s="321"/>
      <c r="W129" s="321"/>
      <c r="X129" s="321"/>
      <c r="Y129" s="321"/>
    </row>
    <row r="130" spans="1:25" s="19" customFormat="1" ht="22.05" customHeight="1" x14ac:dyDescent="0.3">
      <c r="A130" s="17"/>
      <c r="B130" s="332" t="s">
        <v>73</v>
      </c>
      <c r="C130" s="334" t="s">
        <v>1</v>
      </c>
      <c r="D130" s="335"/>
      <c r="E130" s="332" t="s">
        <v>2</v>
      </c>
      <c r="F130" s="331" t="s">
        <v>3</v>
      </c>
      <c r="G130" s="338"/>
      <c r="H130" s="339"/>
      <c r="I130" s="340" t="s">
        <v>145</v>
      </c>
      <c r="J130" s="331" t="s">
        <v>0</v>
      </c>
      <c r="K130" s="343" t="s">
        <v>185</v>
      </c>
      <c r="L130" s="177"/>
      <c r="M130" s="307" t="s">
        <v>159</v>
      </c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9"/>
    </row>
    <row r="131" spans="1:25" s="19" customFormat="1" ht="42.6" customHeight="1" x14ac:dyDescent="0.3">
      <c r="A131" s="17"/>
      <c r="B131" s="333"/>
      <c r="C131" s="336"/>
      <c r="D131" s="337"/>
      <c r="E131" s="333"/>
      <c r="F131" s="178" t="s">
        <v>142</v>
      </c>
      <c r="G131" s="178" t="s">
        <v>143</v>
      </c>
      <c r="H131" s="178" t="s">
        <v>144</v>
      </c>
      <c r="I131" s="341"/>
      <c r="J131" s="331"/>
      <c r="K131" s="344"/>
      <c r="L131" s="179"/>
      <c r="M131" s="310" t="s">
        <v>181</v>
      </c>
      <c r="N131" s="311"/>
      <c r="O131" s="311"/>
      <c r="P131" s="311"/>
      <c r="Q131" s="311"/>
      <c r="R131" s="311"/>
      <c r="S131" s="311"/>
      <c r="T131" s="311"/>
      <c r="U131" s="311"/>
      <c r="V131" s="311"/>
      <c r="W131" s="311"/>
      <c r="X131" s="311"/>
      <c r="Y131" s="312"/>
    </row>
    <row r="132" spans="1:25" s="19" customFormat="1" ht="22.05" customHeight="1" x14ac:dyDescent="0.3">
      <c r="A132" s="17"/>
      <c r="B132" s="316" t="s">
        <v>87</v>
      </c>
      <c r="C132" s="317"/>
      <c r="D132" s="317"/>
      <c r="E132" s="317"/>
      <c r="F132" s="317"/>
      <c r="G132" s="317"/>
      <c r="H132" s="317"/>
      <c r="I132" s="317"/>
      <c r="J132" s="317"/>
      <c r="K132" s="318"/>
      <c r="L132" s="180"/>
      <c r="M132" s="181" t="s">
        <v>146</v>
      </c>
      <c r="N132" s="181" t="s">
        <v>147</v>
      </c>
      <c r="O132" s="181" t="s">
        <v>148</v>
      </c>
      <c r="P132" s="181" t="s">
        <v>150</v>
      </c>
      <c r="Q132" s="181" t="s">
        <v>149</v>
      </c>
      <c r="R132" s="181" t="s">
        <v>151</v>
      </c>
      <c r="S132" s="181" t="s">
        <v>152</v>
      </c>
      <c r="T132" s="181" t="s">
        <v>153</v>
      </c>
      <c r="U132" s="181" t="s">
        <v>154</v>
      </c>
      <c r="V132" s="181" t="s">
        <v>155</v>
      </c>
      <c r="W132" s="181" t="s">
        <v>156</v>
      </c>
      <c r="X132" s="181" t="s">
        <v>157</v>
      </c>
      <c r="Y132" s="181" t="s">
        <v>158</v>
      </c>
    </row>
    <row r="133" spans="1:25" s="19" customFormat="1" ht="22.05" customHeight="1" x14ac:dyDescent="0.3">
      <c r="A133" s="17"/>
      <c r="B133" s="357" t="s">
        <v>94</v>
      </c>
      <c r="C133" s="348" t="s">
        <v>47</v>
      </c>
      <c r="D133" s="354"/>
      <c r="E133" s="51">
        <v>205</v>
      </c>
      <c r="F133" s="182">
        <v>5</v>
      </c>
      <c r="G133" s="182">
        <v>8.1999999999999993</v>
      </c>
      <c r="H133" s="182">
        <v>30.3</v>
      </c>
      <c r="I133" s="182">
        <v>215.2</v>
      </c>
      <c r="J133" s="183">
        <v>121</v>
      </c>
      <c r="K133" s="184">
        <v>20.12</v>
      </c>
      <c r="L133" s="185"/>
      <c r="M133" s="227">
        <v>0.05</v>
      </c>
      <c r="N133" s="227">
        <v>0.14000000000000001</v>
      </c>
      <c r="O133" s="227">
        <v>63.06</v>
      </c>
      <c r="P133" s="227">
        <v>0</v>
      </c>
      <c r="Q133" s="227">
        <v>0.22</v>
      </c>
      <c r="R133" s="227">
        <v>0</v>
      </c>
      <c r="S133" s="227">
        <v>0</v>
      </c>
      <c r="T133" s="227">
        <v>122.01</v>
      </c>
      <c r="U133" s="227">
        <v>27.14</v>
      </c>
      <c r="V133" s="227">
        <v>122.72</v>
      </c>
      <c r="W133" s="227">
        <v>0.42</v>
      </c>
      <c r="X133" s="227">
        <v>0</v>
      </c>
      <c r="Y133" s="227">
        <v>0</v>
      </c>
    </row>
    <row r="134" spans="1:25" s="19" customFormat="1" ht="24" customHeight="1" x14ac:dyDescent="0.3">
      <c r="A134" s="17"/>
      <c r="B134" s="358"/>
      <c r="C134" s="248" t="s">
        <v>16</v>
      </c>
      <c r="D134" s="249"/>
      <c r="E134" s="51">
        <v>15</v>
      </c>
      <c r="F134" s="52">
        <v>3.51</v>
      </c>
      <c r="G134" s="52">
        <v>4.5</v>
      </c>
      <c r="H134" s="52">
        <v>0</v>
      </c>
      <c r="I134" s="52">
        <v>54.5</v>
      </c>
      <c r="J134" s="53" t="s">
        <v>15</v>
      </c>
      <c r="K134" s="169">
        <v>10.97</v>
      </c>
      <c r="L134" s="163"/>
      <c r="M134" s="227">
        <v>0.01</v>
      </c>
      <c r="N134" s="227">
        <v>0.04</v>
      </c>
      <c r="O134" s="227">
        <v>39</v>
      </c>
      <c r="P134" s="227">
        <v>0.04</v>
      </c>
      <c r="Q134" s="227">
        <v>0</v>
      </c>
      <c r="R134" s="227">
        <v>150</v>
      </c>
      <c r="S134" s="227">
        <v>17</v>
      </c>
      <c r="T134" s="227">
        <v>150</v>
      </c>
      <c r="U134" s="227">
        <v>7</v>
      </c>
      <c r="V134" s="227">
        <v>82</v>
      </c>
      <c r="W134" s="227">
        <v>0</v>
      </c>
      <c r="X134" s="227">
        <v>0</v>
      </c>
      <c r="Y134" s="227">
        <v>0</v>
      </c>
    </row>
    <row r="135" spans="1:25" s="48" customFormat="1" ht="22.05" customHeight="1" x14ac:dyDescent="0.3">
      <c r="A135" s="20"/>
      <c r="B135" s="358"/>
      <c r="C135" s="280" t="s">
        <v>114</v>
      </c>
      <c r="D135" s="280"/>
      <c r="E135" s="51">
        <v>48</v>
      </c>
      <c r="F135" s="52">
        <f>F16/100*48</f>
        <v>3.6479999999999997</v>
      </c>
      <c r="G135" s="52">
        <f t="shared" ref="G135:I135" si="39">G16/100*48</f>
        <v>0.43200000000000005</v>
      </c>
      <c r="H135" s="52">
        <f t="shared" si="39"/>
        <v>23.856000000000002</v>
      </c>
      <c r="I135" s="52">
        <f t="shared" si="39"/>
        <v>108.47999999999999</v>
      </c>
      <c r="J135" s="51" t="s">
        <v>63</v>
      </c>
      <c r="K135" s="145">
        <v>4.09</v>
      </c>
      <c r="L135" s="145"/>
      <c r="M135" s="227">
        <f>M16/30*48</f>
        <v>0.19680000000000003</v>
      </c>
      <c r="N135" s="227">
        <f t="shared" ref="N135:Y135" si="40">N16/30*48</f>
        <v>0.12159999999999999</v>
      </c>
      <c r="O135" s="227">
        <f t="shared" si="40"/>
        <v>0</v>
      </c>
      <c r="P135" s="227">
        <f t="shared" si="40"/>
        <v>2.6880000000000002</v>
      </c>
      <c r="Q135" s="227">
        <f t="shared" si="40"/>
        <v>9.6000000000000002E-2</v>
      </c>
      <c r="R135" s="227">
        <f t="shared" si="40"/>
        <v>227.04000000000002</v>
      </c>
      <c r="S135" s="227">
        <f t="shared" si="40"/>
        <v>60</v>
      </c>
      <c r="T135" s="227">
        <f t="shared" si="40"/>
        <v>2.3520000000000003</v>
      </c>
      <c r="U135" s="227">
        <f t="shared" si="40"/>
        <v>19.68</v>
      </c>
      <c r="V135" s="227">
        <f t="shared" si="40"/>
        <v>61.92</v>
      </c>
      <c r="W135" s="227">
        <f t="shared" si="40"/>
        <v>1.7280000000000002</v>
      </c>
      <c r="X135" s="227">
        <f t="shared" si="40"/>
        <v>0</v>
      </c>
      <c r="Y135" s="227">
        <f t="shared" si="40"/>
        <v>13.824000000000002</v>
      </c>
    </row>
    <row r="136" spans="1:25" s="19" customFormat="1" ht="22.05" customHeight="1" x14ac:dyDescent="0.3">
      <c r="A136" s="17"/>
      <c r="B136" s="358"/>
      <c r="C136" s="248" t="s">
        <v>8</v>
      </c>
      <c r="D136" s="249"/>
      <c r="E136" s="51">
        <v>200</v>
      </c>
      <c r="F136" s="52">
        <v>3.8</v>
      </c>
      <c r="G136" s="52">
        <v>3.5</v>
      </c>
      <c r="H136" s="52">
        <v>11.1</v>
      </c>
      <c r="I136" s="52">
        <v>90.8</v>
      </c>
      <c r="J136" s="53" t="s">
        <v>7</v>
      </c>
      <c r="K136" s="169">
        <v>12.47</v>
      </c>
      <c r="L136" s="163"/>
      <c r="M136" s="227">
        <v>0.02</v>
      </c>
      <c r="N136" s="227">
        <v>0.11</v>
      </c>
      <c r="O136" s="227">
        <v>12</v>
      </c>
      <c r="P136" s="227">
        <v>0.2</v>
      </c>
      <c r="Q136" s="227">
        <v>0</v>
      </c>
      <c r="R136" s="227">
        <v>51</v>
      </c>
      <c r="S136" s="227">
        <v>221</v>
      </c>
      <c r="T136" s="227">
        <v>112</v>
      </c>
      <c r="U136" s="227">
        <v>30</v>
      </c>
      <c r="V136" s="227">
        <v>107</v>
      </c>
      <c r="W136" s="227">
        <v>1</v>
      </c>
      <c r="X136" s="227">
        <v>9</v>
      </c>
      <c r="Y136" s="227">
        <v>1.8</v>
      </c>
    </row>
    <row r="137" spans="1:25" s="50" customFormat="1" ht="22.05" customHeight="1" x14ac:dyDescent="0.3">
      <c r="A137" s="49"/>
      <c r="B137" s="359"/>
      <c r="C137" s="350" t="s">
        <v>202</v>
      </c>
      <c r="D137" s="351"/>
      <c r="E137" s="54">
        <v>50</v>
      </c>
      <c r="F137" s="186">
        <v>3.2</v>
      </c>
      <c r="G137" s="186">
        <v>17.3</v>
      </c>
      <c r="H137" s="186">
        <v>27.3</v>
      </c>
      <c r="I137" s="186">
        <v>273.5</v>
      </c>
      <c r="J137" s="187" t="s">
        <v>63</v>
      </c>
      <c r="K137" s="188">
        <v>30</v>
      </c>
      <c r="L137" s="189"/>
      <c r="M137" s="228">
        <v>0.01</v>
      </c>
      <c r="N137" s="228">
        <v>0.03</v>
      </c>
      <c r="O137" s="228">
        <v>0</v>
      </c>
      <c r="P137" s="228">
        <v>0.15</v>
      </c>
      <c r="Q137" s="228">
        <v>0</v>
      </c>
      <c r="R137" s="228">
        <v>5.5</v>
      </c>
      <c r="S137" s="228">
        <v>146.5</v>
      </c>
      <c r="T137" s="228">
        <v>2.5</v>
      </c>
      <c r="U137" s="228">
        <v>5</v>
      </c>
      <c r="V137" s="228">
        <v>39</v>
      </c>
      <c r="W137" s="228">
        <v>0.7</v>
      </c>
      <c r="X137" s="228">
        <v>0</v>
      </c>
      <c r="Y137" s="228">
        <v>0</v>
      </c>
    </row>
    <row r="138" spans="1:25" s="19" customFormat="1" ht="22.05" customHeight="1" x14ac:dyDescent="0.3">
      <c r="A138" s="17"/>
      <c r="B138" s="190"/>
      <c r="C138" s="329" t="s">
        <v>226</v>
      </c>
      <c r="D138" s="330"/>
      <c r="E138" s="190">
        <f>SUM(E133:E137)</f>
        <v>518</v>
      </c>
      <c r="F138" s="191">
        <f>SUM(F133:F137)</f>
        <v>19.157999999999998</v>
      </c>
      <c r="G138" s="191">
        <f>SUM(G133:G137)</f>
        <v>33.932000000000002</v>
      </c>
      <c r="H138" s="191">
        <f>SUM(H133:H137)</f>
        <v>92.555999999999997</v>
      </c>
      <c r="I138" s="191">
        <f>SUM(I133:I137)</f>
        <v>742.48</v>
      </c>
      <c r="J138" s="192"/>
      <c r="K138" s="193">
        <f>SUM(K133:K137)</f>
        <v>77.650000000000006</v>
      </c>
      <c r="L138" s="185"/>
      <c r="M138" s="194">
        <f t="shared" ref="M138:Y138" si="41">SUM(M133:M137)</f>
        <v>0.28680000000000005</v>
      </c>
      <c r="N138" s="194">
        <f t="shared" si="41"/>
        <v>0.44159999999999999</v>
      </c>
      <c r="O138" s="194">
        <f t="shared" si="41"/>
        <v>114.06</v>
      </c>
      <c r="P138" s="194">
        <f t="shared" si="41"/>
        <v>3.0780000000000003</v>
      </c>
      <c r="Q138" s="194">
        <f t="shared" si="41"/>
        <v>0.316</v>
      </c>
      <c r="R138" s="194">
        <f t="shared" si="41"/>
        <v>433.54</v>
      </c>
      <c r="S138" s="194">
        <f t="shared" si="41"/>
        <v>444.5</v>
      </c>
      <c r="T138" s="194">
        <f t="shared" si="41"/>
        <v>388.86199999999997</v>
      </c>
      <c r="U138" s="194">
        <f t="shared" si="41"/>
        <v>88.82</v>
      </c>
      <c r="V138" s="194">
        <f t="shared" si="41"/>
        <v>412.64</v>
      </c>
      <c r="W138" s="194">
        <f t="shared" si="41"/>
        <v>3.8479999999999999</v>
      </c>
      <c r="X138" s="194">
        <f t="shared" si="41"/>
        <v>9</v>
      </c>
      <c r="Y138" s="194">
        <f t="shared" si="41"/>
        <v>15.624000000000002</v>
      </c>
    </row>
    <row r="139" spans="1:25" ht="22.05" customHeight="1" x14ac:dyDescent="0.3">
      <c r="A139" s="12"/>
      <c r="B139" s="36"/>
      <c r="C139" s="272"/>
      <c r="D139" s="272"/>
      <c r="E139" s="37"/>
      <c r="F139" s="37"/>
      <c r="G139" s="37"/>
      <c r="H139" s="37"/>
      <c r="I139" s="37"/>
      <c r="J139" s="15"/>
      <c r="K139" s="5"/>
      <c r="L139" s="5"/>
    </row>
    <row r="140" spans="1:25" s="25" customFormat="1" ht="22.05" customHeight="1" x14ac:dyDescent="0.3">
      <c r="A140" s="12"/>
      <c r="B140" s="326" t="s">
        <v>41</v>
      </c>
      <c r="C140" s="326"/>
      <c r="D140" s="326"/>
      <c r="E140" s="326"/>
      <c r="F140" s="326"/>
      <c r="G140" s="326"/>
      <c r="H140" s="326"/>
      <c r="I140" s="326"/>
      <c r="J140" s="13"/>
      <c r="K140" s="5"/>
      <c r="L140" s="5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</row>
    <row r="141" spans="1:25" s="25" customFormat="1" ht="22.05" customHeight="1" x14ac:dyDescent="0.3">
      <c r="A141" s="12"/>
      <c r="B141" s="326"/>
      <c r="C141" s="326"/>
      <c r="D141" s="326"/>
      <c r="E141" s="326"/>
      <c r="F141" s="326"/>
      <c r="G141" s="326"/>
      <c r="H141" s="326"/>
      <c r="I141" s="326"/>
      <c r="J141" s="23"/>
      <c r="K141" s="5"/>
      <c r="L141" s="5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</row>
    <row r="142" spans="1:25" s="25" customFormat="1" ht="22.05" customHeight="1" x14ac:dyDescent="0.3">
      <c r="A142" s="12"/>
      <c r="B142" s="326"/>
      <c r="C142" s="326"/>
      <c r="D142" s="326"/>
      <c r="E142" s="326"/>
      <c r="F142" s="326"/>
      <c r="G142" s="326"/>
      <c r="H142" s="326"/>
      <c r="I142" s="326"/>
      <c r="J142" s="24"/>
      <c r="K142" s="5"/>
      <c r="L142" s="5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</row>
    <row r="143" spans="1:25" s="25" customFormat="1" ht="22.05" customHeight="1" x14ac:dyDescent="0.3">
      <c r="A143" s="1"/>
      <c r="B143" s="285"/>
      <c r="C143" s="285"/>
      <c r="D143" s="285"/>
      <c r="E143" s="285"/>
      <c r="F143" s="285"/>
      <c r="G143" s="285"/>
      <c r="H143" s="285"/>
      <c r="I143" s="285"/>
      <c r="J143" s="28"/>
      <c r="K143" s="5"/>
      <c r="L143" s="5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</row>
    <row r="144" spans="1:25" s="25" customFormat="1" ht="22.05" customHeight="1" x14ac:dyDescent="0.3">
      <c r="A144" s="1"/>
      <c r="B144" s="8"/>
      <c r="C144" s="8"/>
      <c r="D144" s="8"/>
      <c r="E144" s="8"/>
      <c r="F144" s="8"/>
      <c r="G144" s="8"/>
      <c r="H144" s="8"/>
      <c r="I144" s="8"/>
      <c r="J144" s="8"/>
      <c r="K144" s="5"/>
      <c r="L144" s="5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</row>
    <row r="145" spans="1:25" s="25" customFormat="1" ht="22.05" customHeight="1" x14ac:dyDescent="0.3">
      <c r="A145" s="1"/>
      <c r="B145" s="286" t="s">
        <v>57</v>
      </c>
      <c r="C145" s="286"/>
      <c r="D145" s="286"/>
      <c r="E145" s="286"/>
      <c r="F145" s="286"/>
      <c r="G145" s="286"/>
      <c r="H145" s="286"/>
      <c r="I145" s="286"/>
      <c r="J145" s="22">
        <v>1</v>
      </c>
      <c r="K145" s="1"/>
      <c r="L145" s="1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</row>
    <row r="146" spans="1:25" s="25" customFormat="1" ht="22.05" customHeight="1" x14ac:dyDescent="0.3">
      <c r="A146" s="1"/>
      <c r="B146" s="287" t="s">
        <v>45</v>
      </c>
      <c r="C146" s="287"/>
      <c r="D146" s="287"/>
      <c r="E146" s="287"/>
      <c r="F146" s="287"/>
      <c r="G146" s="287"/>
      <c r="H146" s="287"/>
      <c r="I146" s="287"/>
      <c r="J146" s="22">
        <v>2</v>
      </c>
      <c r="K146" s="5"/>
      <c r="L146" s="5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</row>
    <row r="147" spans="1:25" s="25" customFormat="1" ht="22.05" customHeight="1" x14ac:dyDescent="0.3">
      <c r="A147" s="1"/>
      <c r="B147" s="287" t="s">
        <v>46</v>
      </c>
      <c r="C147" s="287"/>
      <c r="D147" s="287"/>
      <c r="E147" s="287"/>
      <c r="F147" s="287"/>
      <c r="G147" s="287"/>
      <c r="H147" s="287"/>
      <c r="I147" s="287"/>
      <c r="J147" s="22">
        <v>3</v>
      </c>
      <c r="K147" s="5"/>
      <c r="L147" s="5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</row>
    <row r="148" spans="1:25" s="25" customFormat="1" ht="22.05" customHeight="1" x14ac:dyDescent="0.3">
      <c r="A148" s="1"/>
      <c r="B148" s="283" t="s">
        <v>48</v>
      </c>
      <c r="C148" s="283"/>
      <c r="D148" s="283"/>
      <c r="E148" s="283"/>
      <c r="F148" s="283"/>
      <c r="G148" s="283"/>
      <c r="H148" s="283"/>
      <c r="I148" s="283"/>
      <c r="J148" s="22">
        <v>4</v>
      </c>
      <c r="K148" s="5"/>
      <c r="L148" s="5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</row>
    <row r="149" spans="1:25" s="25" customFormat="1" ht="22.05" customHeight="1" x14ac:dyDescent="0.3">
      <c r="A149" s="1"/>
      <c r="B149" s="8"/>
      <c r="C149" s="8"/>
      <c r="D149" s="8"/>
      <c r="E149" s="8"/>
      <c r="F149" s="8"/>
      <c r="G149" s="8"/>
      <c r="H149" s="8"/>
      <c r="I149" s="8"/>
      <c r="J149" s="8"/>
      <c r="K149" s="5"/>
      <c r="L149" s="5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</row>
    <row r="150" spans="1:25" s="25" customFormat="1" ht="36.75" customHeight="1" x14ac:dyDescent="0.3">
      <c r="A150" s="9"/>
      <c r="B150" s="8"/>
      <c r="C150" s="8"/>
      <c r="D150" s="8"/>
      <c r="E150" s="8"/>
      <c r="F150" s="8"/>
      <c r="G150" s="8"/>
      <c r="H150" s="8"/>
      <c r="I150" s="8"/>
      <c r="J150" s="8"/>
      <c r="K150" s="5"/>
      <c r="L150" s="5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</row>
    <row r="151" spans="1:25" s="25" customFormat="1" ht="21.75" customHeight="1" x14ac:dyDescent="0.3">
      <c r="A151" s="1"/>
      <c r="B151" s="10"/>
      <c r="C151" s="10"/>
      <c r="D151" s="10"/>
      <c r="E151" s="10"/>
      <c r="F151" s="10"/>
      <c r="G151" s="10"/>
      <c r="H151" s="10"/>
      <c r="I151" s="10"/>
      <c r="J151" s="10"/>
      <c r="K151" s="5"/>
      <c r="L151" s="5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</row>
    <row r="152" spans="1:25" s="25" customFormat="1" ht="22.5" customHeight="1" x14ac:dyDescent="0.3">
      <c r="A152" s="1"/>
      <c r="B152" s="10"/>
      <c r="C152" s="10"/>
      <c r="D152" s="10"/>
      <c r="E152" s="10"/>
      <c r="F152" s="10"/>
      <c r="G152" s="10"/>
      <c r="H152" s="10"/>
      <c r="I152" s="10"/>
      <c r="J152" s="10"/>
      <c r="K152" s="5"/>
      <c r="L152" s="5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</row>
    <row r="153" spans="1:25" s="25" customFormat="1" ht="24.75" customHeight="1" x14ac:dyDescent="0.3">
      <c r="A153" s="1"/>
      <c r="B153" s="10"/>
      <c r="C153" s="10"/>
      <c r="D153" s="10"/>
      <c r="E153" s="10"/>
      <c r="F153" s="10"/>
      <c r="G153" s="10"/>
      <c r="H153" s="10"/>
      <c r="I153" s="10"/>
      <c r="J153" s="10"/>
      <c r="K153" s="5"/>
      <c r="L153" s="5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</row>
    <row r="154" spans="1:25" s="25" customFormat="1" ht="25.5" customHeight="1" x14ac:dyDescent="0.3">
      <c r="A154" s="1"/>
      <c r="B154" s="10"/>
      <c r="C154" s="10"/>
      <c r="D154" s="10"/>
      <c r="E154" s="10"/>
      <c r="F154" s="10"/>
      <c r="G154" s="10"/>
      <c r="H154" s="10"/>
      <c r="I154" s="10"/>
      <c r="J154" s="10"/>
      <c r="K154" s="5"/>
      <c r="L154" s="5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</row>
    <row r="155" spans="1:25" s="25" customFormat="1" ht="21" customHeight="1" x14ac:dyDescent="0.3">
      <c r="A155" s="1"/>
      <c r="B155" s="10"/>
      <c r="C155" s="10"/>
      <c r="D155" s="10"/>
      <c r="E155" s="10"/>
      <c r="F155" s="10"/>
      <c r="G155" s="10"/>
      <c r="H155" s="10"/>
      <c r="I155" s="10"/>
      <c r="J155" s="10"/>
      <c r="K155" s="5"/>
      <c r="L155" s="5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</row>
    <row r="156" spans="1:25" s="25" customFormat="1" ht="43.5" customHeight="1" x14ac:dyDescent="0.3">
      <c r="A156" s="1"/>
      <c r="B156" s="10"/>
      <c r="C156" s="10"/>
      <c r="D156" s="10"/>
      <c r="E156" s="10"/>
      <c r="F156" s="10"/>
      <c r="G156" s="10"/>
      <c r="H156" s="10"/>
      <c r="I156" s="10"/>
      <c r="J156" s="10"/>
      <c r="K156" s="5"/>
      <c r="L156" s="5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</row>
    <row r="157" spans="1:25" s="25" customFormat="1" ht="45.75" customHeight="1" x14ac:dyDescent="0.3">
      <c r="A157" s="1"/>
      <c r="B157" s="10"/>
      <c r="C157" s="10"/>
      <c r="D157" s="10"/>
      <c r="E157" s="10"/>
      <c r="F157" s="10"/>
      <c r="G157" s="10"/>
      <c r="H157" s="10"/>
      <c r="I157" s="10"/>
      <c r="J157" s="10"/>
      <c r="K157" s="5"/>
      <c r="L157" s="5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</row>
    <row r="158" spans="1:25" s="25" customFormat="1" ht="61.5" customHeight="1" x14ac:dyDescent="0.3">
      <c r="A158" s="1"/>
      <c r="B158" s="10"/>
      <c r="C158" s="10"/>
      <c r="D158" s="10"/>
      <c r="E158" s="10"/>
      <c r="F158" s="10"/>
      <c r="G158" s="10"/>
      <c r="H158" s="10"/>
      <c r="I158" s="10"/>
      <c r="J158" s="10"/>
      <c r="K158" s="5"/>
      <c r="L158" s="5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</row>
    <row r="159" spans="1:25" s="25" customFormat="1" ht="30.75" customHeight="1" x14ac:dyDescent="0.3">
      <c r="A159" s="1"/>
      <c r="B159" s="10"/>
      <c r="C159" s="10"/>
      <c r="D159" s="10"/>
      <c r="E159" s="10"/>
      <c r="F159" s="10"/>
      <c r="G159" s="10"/>
      <c r="H159" s="10"/>
      <c r="I159" s="10"/>
      <c r="J159" s="10"/>
      <c r="K159" s="5"/>
      <c r="L159" s="5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</row>
    <row r="160" spans="1:25" s="25" customFormat="1" ht="51" customHeight="1" x14ac:dyDescent="0.3">
      <c r="A160" s="1"/>
      <c r="B160" s="10"/>
      <c r="C160" s="10"/>
      <c r="D160" s="10"/>
      <c r="E160" s="10"/>
      <c r="F160" s="10"/>
      <c r="G160" s="10"/>
      <c r="H160" s="10"/>
      <c r="I160" s="10"/>
      <c r="J160" s="10"/>
      <c r="K160" s="5"/>
      <c r="L160" s="5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</row>
    <row r="161" spans="1:25" s="25" customFormat="1" ht="67.5" customHeight="1" x14ac:dyDescent="0.3">
      <c r="A161" s="7"/>
      <c r="B161" s="10"/>
      <c r="C161" s="10"/>
      <c r="D161" s="10"/>
      <c r="E161" s="10"/>
      <c r="F161" s="10"/>
      <c r="G161" s="10"/>
      <c r="H161" s="10"/>
      <c r="I161" s="10"/>
      <c r="J161" s="10"/>
      <c r="K161" s="5"/>
      <c r="L161" s="5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</row>
    <row r="162" spans="1:25" s="25" customFormat="1" ht="17.399999999999999" x14ac:dyDescent="0.3">
      <c r="A162" s="7"/>
      <c r="B162" s="10"/>
      <c r="C162" s="10"/>
      <c r="D162" s="10"/>
      <c r="E162" s="10"/>
      <c r="F162" s="10"/>
      <c r="G162" s="10"/>
      <c r="H162" s="10"/>
      <c r="I162" s="10"/>
      <c r="J162" s="10"/>
      <c r="K162" s="5"/>
      <c r="L162" s="5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</row>
    <row r="163" spans="1:25" s="25" customFormat="1" ht="14.4" x14ac:dyDescent="0.3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5"/>
      <c r="L163" s="5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</row>
    <row r="164" spans="1:25" s="25" customFormat="1" ht="14.4" x14ac:dyDescent="0.3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5"/>
      <c r="L164" s="5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</row>
    <row r="165" spans="1:25" s="25" customFormat="1" ht="14.4" x14ac:dyDescent="0.3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5"/>
      <c r="L165" s="5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</row>
    <row r="166" spans="1:25" s="25" customFormat="1" ht="14.4" x14ac:dyDescent="0.3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5"/>
      <c r="L166" s="5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</row>
    <row r="167" spans="1:25" s="25" customFormat="1" ht="14.4" x14ac:dyDescent="0.3">
      <c r="A167" s="7"/>
      <c r="B167" s="1"/>
      <c r="C167" s="1"/>
      <c r="D167" s="1"/>
      <c r="E167" s="1"/>
      <c r="F167" s="1"/>
      <c r="G167" s="1"/>
      <c r="H167" s="1"/>
      <c r="I167" s="1"/>
      <c r="J167" s="1"/>
      <c r="K167" s="5"/>
      <c r="L167" s="5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</row>
    <row r="168" spans="1:25" s="25" customFormat="1" ht="35.25" customHeight="1" x14ac:dyDescent="0.3">
      <c r="A168" s="7"/>
      <c r="B168" s="1"/>
      <c r="C168" s="1"/>
      <c r="D168" s="1"/>
      <c r="E168" s="1"/>
      <c r="F168" s="1"/>
      <c r="G168" s="1"/>
      <c r="H168" s="1"/>
      <c r="I168" s="1"/>
      <c r="J168" s="1"/>
      <c r="K168" s="5"/>
      <c r="L168" s="5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</row>
    <row r="169" spans="1:25" ht="36.75" customHeight="1" x14ac:dyDescent="0.3">
      <c r="A169" s="7"/>
      <c r="K169" s="5"/>
      <c r="L169" s="5"/>
    </row>
    <row r="170" spans="1:25" ht="63.75" customHeight="1" x14ac:dyDescent="0.3">
      <c r="A170" s="7"/>
      <c r="K170" s="5"/>
      <c r="L170" s="5"/>
    </row>
    <row r="171" spans="1:25" ht="42" customHeight="1" x14ac:dyDescent="0.3">
      <c r="K171" s="5"/>
      <c r="L171" s="5"/>
    </row>
    <row r="172" spans="1:25" s="9" customFormat="1" ht="4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1"/>
      <c r="L172" s="11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</row>
    <row r="173" spans="1:25" ht="36" customHeight="1" x14ac:dyDescent="0.3">
      <c r="K173" s="5"/>
      <c r="L173" s="5"/>
    </row>
    <row r="174" spans="1:25" ht="36" customHeight="1" x14ac:dyDescent="0.3">
      <c r="K174" s="5"/>
      <c r="L174" s="5"/>
    </row>
    <row r="175" spans="1:25" ht="34.5" customHeight="1" x14ac:dyDescent="0.3">
      <c r="K175" s="5"/>
      <c r="L175" s="5"/>
    </row>
    <row r="176" spans="1:25" ht="78.75" customHeight="1" x14ac:dyDescent="0.3">
      <c r="K176" s="5"/>
      <c r="L176" s="5"/>
    </row>
    <row r="177" spans="11:25" ht="59.25" customHeight="1" x14ac:dyDescent="0.3">
      <c r="K177" s="5"/>
      <c r="L177" s="5"/>
    </row>
    <row r="178" spans="11:25" ht="31.5" customHeight="1" x14ac:dyDescent="0.3">
      <c r="K178" s="5"/>
      <c r="L178" s="5"/>
    </row>
    <row r="179" spans="11:25" ht="60" customHeight="1" x14ac:dyDescent="0.3">
      <c r="K179" s="5"/>
      <c r="L179" s="5"/>
    </row>
    <row r="180" spans="11:25" s="1" customFormat="1" ht="47.25" customHeight="1" x14ac:dyDescent="0.3">
      <c r="K180" s="5"/>
      <c r="L180" s="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</row>
    <row r="181" spans="11:25" ht="50.25" customHeight="1" x14ac:dyDescent="0.3">
      <c r="K181" s="5"/>
      <c r="L181" s="5"/>
    </row>
    <row r="182" spans="11:25" ht="78.75" customHeight="1" x14ac:dyDescent="0.3">
      <c r="K182" s="5"/>
      <c r="L182" s="5"/>
    </row>
    <row r="183" spans="11:25" ht="15.75" customHeight="1" x14ac:dyDescent="0.3">
      <c r="K183" s="5"/>
      <c r="L183" s="5"/>
    </row>
    <row r="184" spans="11:25" ht="44.25" customHeight="1" x14ac:dyDescent="0.3">
      <c r="K184" s="5"/>
      <c r="L184" s="5"/>
    </row>
    <row r="185" spans="11:25" ht="57.75" customHeight="1" x14ac:dyDescent="0.3">
      <c r="K185" s="5"/>
      <c r="L185" s="5"/>
    </row>
    <row r="186" spans="11:25" ht="52.5" customHeight="1" x14ac:dyDescent="0.3">
      <c r="K186" s="5"/>
      <c r="L186" s="5"/>
    </row>
    <row r="187" spans="11:25" ht="63.75" customHeight="1" x14ac:dyDescent="0.3"/>
    <row r="188" spans="11:25" ht="43.5" customHeight="1" x14ac:dyDescent="0.3"/>
    <row r="189" spans="11:25" ht="45.75" customHeight="1" x14ac:dyDescent="0.3"/>
    <row r="190" spans="11:25" ht="43.5" customHeight="1" x14ac:dyDescent="0.3"/>
    <row r="191" spans="11:25" ht="95.25" customHeight="1" x14ac:dyDescent="0.3"/>
    <row r="192" spans="11:25" ht="60.75" customHeight="1" x14ac:dyDescent="0.3"/>
    <row r="193" ht="69" customHeight="1" x14ac:dyDescent="0.3"/>
    <row r="194" ht="72.75" customHeight="1" x14ac:dyDescent="0.3"/>
    <row r="195" ht="69" customHeight="1" x14ac:dyDescent="0.3"/>
  </sheetData>
  <mergeCells count="212">
    <mergeCell ref="B119:K119"/>
    <mergeCell ref="C134:D134"/>
    <mergeCell ref="C135:D135"/>
    <mergeCell ref="C62:D62"/>
    <mergeCell ref="B93:B94"/>
    <mergeCell ref="C37:D37"/>
    <mergeCell ref="C47:D47"/>
    <mergeCell ref="C48:D48"/>
    <mergeCell ref="C49:D49"/>
    <mergeCell ref="C60:D60"/>
    <mergeCell ref="C64:D64"/>
    <mergeCell ref="C74:D74"/>
    <mergeCell ref="C86:D86"/>
    <mergeCell ref="C87:D87"/>
    <mergeCell ref="B45:K45"/>
    <mergeCell ref="K56:K57"/>
    <mergeCell ref="B133:B137"/>
    <mergeCell ref="K117:K118"/>
    <mergeCell ref="C93:D94"/>
    <mergeCell ref="C136:D136"/>
    <mergeCell ref="C101:D101"/>
    <mergeCell ref="C97:D97"/>
    <mergeCell ref="C137:D137"/>
    <mergeCell ref="C102:D102"/>
    <mergeCell ref="C133:D133"/>
    <mergeCell ref="C24:D24"/>
    <mergeCell ref="B81:B82"/>
    <mergeCell ref="C125:D125"/>
    <mergeCell ref="B120:B124"/>
    <mergeCell ref="E117:E118"/>
    <mergeCell ref="C69:D70"/>
    <mergeCell ref="B58:K58"/>
    <mergeCell ref="J56:J57"/>
    <mergeCell ref="C77:D77"/>
    <mergeCell ref="E69:E70"/>
    <mergeCell ref="F69:H69"/>
    <mergeCell ref="C59:D59"/>
    <mergeCell ref="B72:B76"/>
    <mergeCell ref="I56:I57"/>
    <mergeCell ref="F56:H56"/>
    <mergeCell ref="B59:B64"/>
    <mergeCell ref="B68:K68"/>
    <mergeCell ref="C99:D99"/>
    <mergeCell ref="I93:I94"/>
    <mergeCell ref="J93:J94"/>
    <mergeCell ref="B116:K116"/>
    <mergeCell ref="B1:J1"/>
    <mergeCell ref="B2:J2"/>
    <mergeCell ref="B3:J3"/>
    <mergeCell ref="H5:J5"/>
    <mergeCell ref="G6:J6"/>
    <mergeCell ref="G7:J7"/>
    <mergeCell ref="G8:J8"/>
    <mergeCell ref="B56:B57"/>
    <mergeCell ref="B43:B44"/>
    <mergeCell ref="I43:I44"/>
    <mergeCell ref="C52:D52"/>
    <mergeCell ref="B22:B26"/>
    <mergeCell ref="B12:J12"/>
    <mergeCell ref="B13:J13"/>
    <mergeCell ref="B33:K33"/>
    <mergeCell ref="K43:K44"/>
    <mergeCell ref="C56:D57"/>
    <mergeCell ref="E56:E57"/>
    <mergeCell ref="K19:K20"/>
    <mergeCell ref="C36:D36"/>
    <mergeCell ref="C43:D44"/>
    <mergeCell ref="C39:D39"/>
    <mergeCell ref="B105:K105"/>
    <mergeCell ref="C109:D109"/>
    <mergeCell ref="B106:B107"/>
    <mergeCell ref="K130:K131"/>
    <mergeCell ref="C46:D46"/>
    <mergeCell ref="C50:D50"/>
    <mergeCell ref="C51:D51"/>
    <mergeCell ref="C38:D38"/>
    <mergeCell ref="B34:B38"/>
    <mergeCell ref="C63:D63"/>
    <mergeCell ref="C124:D124"/>
    <mergeCell ref="C126:D126"/>
    <mergeCell ref="C61:D61"/>
    <mergeCell ref="C76:D76"/>
    <mergeCell ref="C98:D98"/>
    <mergeCell ref="C100:D100"/>
    <mergeCell ref="C112:D112"/>
    <mergeCell ref="C121:D121"/>
    <mergeCell ref="C75:D75"/>
    <mergeCell ref="K81:K82"/>
    <mergeCell ref="C117:D118"/>
    <mergeCell ref="B14:J14"/>
    <mergeCell ref="B15:J15"/>
    <mergeCell ref="C139:D139"/>
    <mergeCell ref="J130:J131"/>
    <mergeCell ref="B130:B131"/>
    <mergeCell ref="C130:D131"/>
    <mergeCell ref="E130:E131"/>
    <mergeCell ref="F130:H130"/>
    <mergeCell ref="I130:I131"/>
    <mergeCell ref="J31:J32"/>
    <mergeCell ref="B31:B32"/>
    <mergeCell ref="C31:D32"/>
    <mergeCell ref="E31:E32"/>
    <mergeCell ref="F31:H31"/>
    <mergeCell ref="J106:J107"/>
    <mergeCell ref="C89:D89"/>
    <mergeCell ref="C25:D25"/>
    <mergeCell ref="I69:I70"/>
    <mergeCell ref="B69:B70"/>
    <mergeCell ref="J117:J118"/>
    <mergeCell ref="C72:D72"/>
    <mergeCell ref="C73:D73"/>
    <mergeCell ref="B132:K132"/>
    <mergeCell ref="B129:K129"/>
    <mergeCell ref="B148:I148"/>
    <mergeCell ref="B140:I142"/>
    <mergeCell ref="B143:I143"/>
    <mergeCell ref="B145:I145"/>
    <mergeCell ref="B146:I146"/>
    <mergeCell ref="C88:D88"/>
    <mergeCell ref="C85:D85"/>
    <mergeCell ref="B84:B88"/>
    <mergeCell ref="C84:D84"/>
    <mergeCell ref="C120:D120"/>
    <mergeCell ref="C122:D122"/>
    <mergeCell ref="B117:B118"/>
    <mergeCell ref="B96:B101"/>
    <mergeCell ref="C96:D96"/>
    <mergeCell ref="F117:H117"/>
    <mergeCell ref="C113:D113"/>
    <mergeCell ref="I106:I107"/>
    <mergeCell ref="B109:B112"/>
    <mergeCell ref="I117:I118"/>
    <mergeCell ref="B95:K95"/>
    <mergeCell ref="C138:D138"/>
    <mergeCell ref="C111:D111"/>
    <mergeCell ref="C123:D123"/>
    <mergeCell ref="B147:I147"/>
    <mergeCell ref="B18:K18"/>
    <mergeCell ref="B30:K30"/>
    <mergeCell ref="B42:K42"/>
    <mergeCell ref="B55:K55"/>
    <mergeCell ref="B80:K80"/>
    <mergeCell ref="B21:K21"/>
    <mergeCell ref="B19:B20"/>
    <mergeCell ref="C19:D20"/>
    <mergeCell ref="E19:E20"/>
    <mergeCell ref="F19:H19"/>
    <mergeCell ref="I19:I20"/>
    <mergeCell ref="C22:D22"/>
    <mergeCell ref="J19:J20"/>
    <mergeCell ref="I31:I32"/>
    <mergeCell ref="C34:D34"/>
    <mergeCell ref="K69:K70"/>
    <mergeCell ref="B71:K71"/>
    <mergeCell ref="C41:D41"/>
    <mergeCell ref="C27:D27"/>
    <mergeCell ref="C23:D23"/>
    <mergeCell ref="C26:D26"/>
    <mergeCell ref="C35:D35"/>
    <mergeCell ref="B46:B51"/>
    <mergeCell ref="K31:K32"/>
    <mergeCell ref="M18:Y18"/>
    <mergeCell ref="M30:Y30"/>
    <mergeCell ref="M42:Y42"/>
    <mergeCell ref="M55:Y55"/>
    <mergeCell ref="M68:Y68"/>
    <mergeCell ref="M19:Y19"/>
    <mergeCell ref="M31:Y31"/>
    <mergeCell ref="M32:Y32"/>
    <mergeCell ref="M43:Y43"/>
    <mergeCell ref="M44:Y44"/>
    <mergeCell ref="M56:Y56"/>
    <mergeCell ref="M57:Y57"/>
    <mergeCell ref="M20:Y20"/>
    <mergeCell ref="M131:Y131"/>
    <mergeCell ref="M70:Y70"/>
    <mergeCell ref="M81:Y81"/>
    <mergeCell ref="M82:Y82"/>
    <mergeCell ref="M93:Y93"/>
    <mergeCell ref="M94:Y94"/>
    <mergeCell ref="M106:Y106"/>
    <mergeCell ref="M107:Y107"/>
    <mergeCell ref="M117:Y117"/>
    <mergeCell ref="M129:Y129"/>
    <mergeCell ref="M80:Y80"/>
    <mergeCell ref="M92:Y92"/>
    <mergeCell ref="M105:Y105"/>
    <mergeCell ref="M116:Y116"/>
    <mergeCell ref="M69:Y69"/>
    <mergeCell ref="M118:Y118"/>
    <mergeCell ref="M130:Y130"/>
    <mergeCell ref="E43:E44"/>
    <mergeCell ref="F43:H43"/>
    <mergeCell ref="J43:J44"/>
    <mergeCell ref="C106:D107"/>
    <mergeCell ref="E106:E107"/>
    <mergeCell ref="F106:H106"/>
    <mergeCell ref="E93:E94"/>
    <mergeCell ref="F93:H93"/>
    <mergeCell ref="K93:K94"/>
    <mergeCell ref="B83:K83"/>
    <mergeCell ref="K106:K107"/>
    <mergeCell ref="B108:K108"/>
    <mergeCell ref="B92:K92"/>
    <mergeCell ref="J81:J82"/>
    <mergeCell ref="J69:J70"/>
    <mergeCell ref="C65:D65"/>
    <mergeCell ref="C81:D82"/>
    <mergeCell ref="E81:E82"/>
    <mergeCell ref="F81:H81"/>
    <mergeCell ref="I81:I82"/>
    <mergeCell ref="C110:D110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3" manualBreakCount="13">
    <brk id="16" max="16383" man="1"/>
    <brk id="28" max="16383" man="1"/>
    <brk id="40" max="16383" man="1"/>
    <brk id="53" max="16383" man="1"/>
    <brk id="66" max="16383" man="1"/>
    <brk id="78" max="16383" man="1"/>
    <brk id="90" max="16383" man="1"/>
    <brk id="103" max="16383" man="1"/>
    <brk id="114" max="16383" man="1"/>
    <brk id="127" max="16383" man="1"/>
    <brk id="138" max="23" man="1"/>
    <brk id="139" max="23" man="1"/>
    <brk id="158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269"/>
  <sheetViews>
    <sheetView tabSelected="1" topLeftCell="A199" zoomScale="80" zoomScaleNormal="80" workbookViewId="0">
      <selection activeCell="C213" sqref="B213:I216"/>
    </sheetView>
  </sheetViews>
  <sheetFormatPr defaultColWidth="9.109375" defaultRowHeight="15" customHeight="1" x14ac:dyDescent="0.3"/>
  <cols>
    <col min="1" max="1" width="7.109375" style="1" customWidth="1"/>
    <col min="2" max="2" width="10.109375" style="1" customWidth="1"/>
    <col min="3" max="3" width="9.109375" style="1" customWidth="1"/>
    <col min="4" max="4" width="45.44140625" style="1" customWidth="1"/>
    <col min="5" max="5" width="9.109375" style="1" customWidth="1"/>
    <col min="6" max="6" width="9" style="1" customWidth="1"/>
    <col min="7" max="7" width="9.44140625" style="1" customWidth="1"/>
    <col min="8" max="8" width="12.109375" style="1" customWidth="1"/>
    <col min="9" max="9" width="11.5546875" style="1" customWidth="1"/>
    <col min="10" max="10" width="14.44140625" style="1" customWidth="1"/>
    <col min="11" max="11" width="12" style="1" hidden="1" customWidth="1"/>
    <col min="12" max="12" width="2.21875" style="1" customWidth="1"/>
    <col min="13" max="25" width="9.109375" style="113" customWidth="1"/>
  </cols>
  <sheetData>
    <row r="1" spans="2:25" ht="22.05" customHeight="1" x14ac:dyDescent="0.3">
      <c r="B1" s="265" t="s">
        <v>105</v>
      </c>
      <c r="C1" s="265"/>
      <c r="D1" s="265"/>
      <c r="E1" s="265"/>
      <c r="F1" s="265"/>
      <c r="G1" s="265"/>
      <c r="H1" s="265"/>
      <c r="I1" s="265"/>
      <c r="J1" s="265"/>
    </row>
    <row r="2" spans="2:25" ht="22.05" customHeight="1" x14ac:dyDescent="0.3">
      <c r="B2" s="275" t="s">
        <v>98</v>
      </c>
      <c r="C2" s="275"/>
      <c r="D2" s="275"/>
      <c r="E2" s="275"/>
      <c r="F2" s="275"/>
      <c r="G2" s="275"/>
      <c r="H2" s="275"/>
      <c r="I2" s="275"/>
      <c r="J2" s="275"/>
    </row>
    <row r="3" spans="2:25" ht="22.05" customHeight="1" x14ac:dyDescent="0.3">
      <c r="B3" s="276" t="s">
        <v>99</v>
      </c>
      <c r="C3" s="276"/>
      <c r="D3" s="276"/>
      <c r="E3" s="276"/>
      <c r="F3" s="276"/>
      <c r="G3" s="276"/>
      <c r="H3" s="276"/>
      <c r="I3" s="276"/>
      <c r="J3" s="276"/>
    </row>
    <row r="4" spans="2:25" ht="22.05" customHeight="1" x14ac:dyDescent="0.3">
      <c r="B4" s="66"/>
      <c r="C4" s="66"/>
      <c r="D4" s="66"/>
      <c r="E4" s="66"/>
      <c r="F4" s="66"/>
      <c r="G4" s="66"/>
      <c r="H4" s="66"/>
      <c r="I4" s="66"/>
      <c r="J4" s="66"/>
    </row>
    <row r="5" spans="2:25" ht="22.05" customHeight="1" x14ac:dyDescent="0.3">
      <c r="B5" s="66"/>
      <c r="C5" s="66"/>
      <c r="D5" s="66"/>
      <c r="E5" s="66"/>
      <c r="F5" s="66"/>
      <c r="G5" s="65"/>
      <c r="H5" s="266" t="s">
        <v>106</v>
      </c>
      <c r="I5" s="266"/>
      <c r="J5" s="266"/>
    </row>
    <row r="6" spans="2:25" ht="22.05" customHeight="1" x14ac:dyDescent="0.3">
      <c r="B6" s="66"/>
      <c r="C6" s="66"/>
      <c r="D6" s="66"/>
      <c r="E6" s="66"/>
      <c r="F6" s="66"/>
      <c r="G6" s="266" t="s">
        <v>188</v>
      </c>
      <c r="H6" s="266"/>
      <c r="I6" s="266"/>
      <c r="J6" s="266"/>
    </row>
    <row r="7" spans="2:25" ht="22.05" customHeight="1" x14ac:dyDescent="0.3">
      <c r="B7" s="66"/>
      <c r="C7" s="66"/>
      <c r="D7" s="66"/>
      <c r="E7" s="66"/>
      <c r="F7" s="66"/>
      <c r="G7" s="266" t="s">
        <v>186</v>
      </c>
      <c r="H7" s="266"/>
      <c r="I7" s="266"/>
      <c r="J7" s="266"/>
    </row>
    <row r="8" spans="2:25" ht="22.05" customHeight="1" x14ac:dyDescent="0.3">
      <c r="B8" s="33"/>
      <c r="C8" s="33"/>
      <c r="D8" s="33"/>
      <c r="E8" s="33"/>
      <c r="F8" s="33"/>
      <c r="G8" s="267" t="s">
        <v>189</v>
      </c>
      <c r="H8" s="267"/>
      <c r="I8" s="267"/>
      <c r="J8" s="267"/>
    </row>
    <row r="9" spans="2:25" ht="22.05" customHeight="1" x14ac:dyDescent="0.3">
      <c r="B9" s="33"/>
      <c r="C9" s="33"/>
      <c r="D9" s="33"/>
      <c r="E9" s="33"/>
      <c r="F9" s="33"/>
      <c r="G9" s="33"/>
      <c r="H9" s="33"/>
      <c r="I9" s="33"/>
      <c r="J9" s="33"/>
    </row>
    <row r="10" spans="2:25" ht="22.05" customHeight="1" x14ac:dyDescent="0.45">
      <c r="B10" s="32"/>
      <c r="C10" s="32"/>
      <c r="D10" s="32"/>
      <c r="E10" s="32"/>
      <c r="F10" s="32"/>
      <c r="G10" s="32"/>
      <c r="H10" s="32"/>
      <c r="I10" s="32"/>
      <c r="J10" s="29"/>
    </row>
    <row r="11" spans="2:25" ht="22.05" customHeight="1" x14ac:dyDescent="0.45">
      <c r="B11" s="32"/>
      <c r="C11" s="32"/>
      <c r="D11" s="32"/>
      <c r="E11" s="32"/>
      <c r="F11" s="32"/>
      <c r="G11" s="32"/>
      <c r="H11" s="32"/>
      <c r="I11" s="32"/>
      <c r="J11" s="29"/>
    </row>
    <row r="12" spans="2:25" ht="22.05" customHeight="1" x14ac:dyDescent="0.4">
      <c r="B12" s="277" t="s">
        <v>101</v>
      </c>
      <c r="C12" s="278"/>
      <c r="D12" s="278"/>
      <c r="E12" s="278"/>
      <c r="F12" s="278"/>
      <c r="G12" s="278"/>
      <c r="H12" s="278"/>
      <c r="I12" s="278"/>
      <c r="J12" s="279"/>
    </row>
    <row r="13" spans="2:25" ht="22.05" customHeight="1" x14ac:dyDescent="0.4">
      <c r="B13" s="239" t="s">
        <v>103</v>
      </c>
      <c r="C13" s="240"/>
      <c r="D13" s="240"/>
      <c r="E13" s="240"/>
      <c r="F13" s="240"/>
      <c r="G13" s="240"/>
      <c r="H13" s="240"/>
      <c r="I13" s="240"/>
      <c r="J13" s="241"/>
    </row>
    <row r="14" spans="2:25" ht="22.05" customHeight="1" x14ac:dyDescent="0.4">
      <c r="B14" s="239" t="s">
        <v>97</v>
      </c>
      <c r="C14" s="240"/>
      <c r="D14" s="240"/>
      <c r="E14" s="240"/>
      <c r="F14" s="240"/>
      <c r="G14" s="240"/>
      <c r="H14" s="240"/>
      <c r="I14" s="240"/>
      <c r="J14" s="241"/>
    </row>
    <row r="15" spans="2:25" ht="22.05" customHeight="1" x14ac:dyDescent="0.4">
      <c r="B15" s="242" t="s">
        <v>160</v>
      </c>
      <c r="C15" s="243"/>
      <c r="D15" s="243"/>
      <c r="E15" s="243"/>
      <c r="F15" s="243"/>
      <c r="G15" s="243"/>
      <c r="H15" s="243"/>
      <c r="I15" s="243"/>
      <c r="J15" s="244"/>
    </row>
    <row r="16" spans="2:25" ht="22.05" customHeight="1" x14ac:dyDescent="0.3">
      <c r="B16" s="2"/>
      <c r="C16" s="2"/>
      <c r="D16" s="3"/>
      <c r="E16" s="206" t="s">
        <v>182</v>
      </c>
      <c r="F16" s="206">
        <v>7.6</v>
      </c>
      <c r="G16" s="206">
        <v>0.9</v>
      </c>
      <c r="H16" s="206">
        <v>49.7</v>
      </c>
      <c r="I16" s="206">
        <v>226</v>
      </c>
      <c r="J16" s="209"/>
      <c r="K16" s="209" t="s">
        <v>171</v>
      </c>
      <c r="L16" s="209"/>
      <c r="M16" s="215">
        <v>0.16400000000000001</v>
      </c>
      <c r="N16" s="215">
        <v>0.10100000000000001</v>
      </c>
      <c r="O16" s="215">
        <v>0</v>
      </c>
      <c r="P16" s="215">
        <v>2.2400000000000002</v>
      </c>
      <c r="Q16" s="215">
        <v>0.08</v>
      </c>
      <c r="R16" s="215">
        <v>189.2</v>
      </c>
      <c r="S16" s="215">
        <v>50</v>
      </c>
      <c r="T16" s="215">
        <v>1.96</v>
      </c>
      <c r="U16" s="215">
        <v>16.399999999999999</v>
      </c>
      <c r="V16" s="215">
        <v>51.6</v>
      </c>
      <c r="W16" s="215">
        <v>1.44</v>
      </c>
      <c r="X16" s="215">
        <v>0</v>
      </c>
      <c r="Y16" s="215">
        <v>11.52</v>
      </c>
    </row>
    <row r="17" spans="1:25" ht="22.05" customHeight="1" x14ac:dyDescent="0.3">
      <c r="B17" s="2"/>
      <c r="C17" s="2"/>
      <c r="D17" s="3"/>
      <c r="E17" s="206" t="s">
        <v>183</v>
      </c>
      <c r="F17" s="206">
        <v>4.7</v>
      </c>
      <c r="G17" s="206">
        <v>0.7</v>
      </c>
      <c r="H17" s="206">
        <v>49.8</v>
      </c>
      <c r="I17" s="206">
        <v>214</v>
      </c>
      <c r="J17" s="209"/>
      <c r="K17" s="209" t="s">
        <v>172</v>
      </c>
      <c r="L17" s="209"/>
      <c r="M17" s="215">
        <v>0.17</v>
      </c>
      <c r="N17" s="215">
        <v>0.13</v>
      </c>
      <c r="O17" s="215">
        <v>0</v>
      </c>
      <c r="P17" s="215">
        <v>1.52</v>
      </c>
      <c r="Q17" s="215">
        <v>0.16</v>
      </c>
      <c r="R17" s="215">
        <v>241.2</v>
      </c>
      <c r="S17" s="215">
        <v>29.2</v>
      </c>
      <c r="T17" s="215">
        <v>0.48</v>
      </c>
      <c r="U17" s="215">
        <v>16</v>
      </c>
      <c r="V17" s="215">
        <v>50</v>
      </c>
      <c r="W17" s="215">
        <v>1.1299999999999999</v>
      </c>
      <c r="X17" s="215">
        <v>0</v>
      </c>
      <c r="Y17" s="215">
        <v>12.36</v>
      </c>
    </row>
    <row r="18" spans="1:25" s="19" customFormat="1" ht="22.05" customHeight="1" x14ac:dyDescent="0.3">
      <c r="A18" s="17"/>
      <c r="B18" s="252" t="s">
        <v>62</v>
      </c>
      <c r="C18" s="252"/>
      <c r="D18" s="252"/>
      <c r="E18" s="252"/>
      <c r="F18" s="252"/>
      <c r="G18" s="252"/>
      <c r="H18" s="252"/>
      <c r="I18" s="252"/>
      <c r="J18" s="252"/>
      <c r="K18" s="252"/>
      <c r="L18" s="17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</row>
    <row r="19" spans="1:25" s="19" customFormat="1" ht="22.05" customHeight="1" x14ac:dyDescent="0.3">
      <c r="A19" s="17"/>
      <c r="B19" s="253" t="s">
        <v>73</v>
      </c>
      <c r="C19" s="252" t="s">
        <v>1</v>
      </c>
      <c r="D19" s="252"/>
      <c r="E19" s="252" t="s">
        <v>2</v>
      </c>
      <c r="F19" s="252" t="s">
        <v>3</v>
      </c>
      <c r="G19" s="252"/>
      <c r="H19" s="252"/>
      <c r="I19" s="303" t="s">
        <v>145</v>
      </c>
      <c r="J19" s="252" t="s">
        <v>75</v>
      </c>
      <c r="K19" s="362" t="s">
        <v>185</v>
      </c>
      <c r="L19" s="166"/>
      <c r="M19" s="307" t="s">
        <v>159</v>
      </c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9"/>
    </row>
    <row r="20" spans="1:25" s="19" customFormat="1" ht="43.2" customHeight="1" x14ac:dyDescent="0.3">
      <c r="A20" s="17"/>
      <c r="B20" s="254"/>
      <c r="C20" s="252"/>
      <c r="D20" s="252"/>
      <c r="E20" s="252"/>
      <c r="F20" s="160" t="s">
        <v>142</v>
      </c>
      <c r="G20" s="160" t="s">
        <v>143</v>
      </c>
      <c r="H20" s="160" t="s">
        <v>144</v>
      </c>
      <c r="I20" s="303"/>
      <c r="J20" s="252"/>
      <c r="K20" s="362"/>
      <c r="L20" s="167"/>
      <c r="M20" s="310" t="s">
        <v>173</v>
      </c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2"/>
    </row>
    <row r="21" spans="1:25" s="19" customFormat="1" ht="22.05" customHeight="1" x14ac:dyDescent="0.3">
      <c r="A21" s="17"/>
      <c r="B21" s="361" t="s">
        <v>88</v>
      </c>
      <c r="C21" s="361"/>
      <c r="D21" s="361"/>
      <c r="E21" s="361"/>
      <c r="F21" s="361"/>
      <c r="G21" s="361"/>
      <c r="H21" s="361"/>
      <c r="I21" s="361"/>
      <c r="J21" s="361"/>
      <c r="K21" s="361"/>
      <c r="L21" s="174"/>
      <c r="M21" s="86" t="s">
        <v>146</v>
      </c>
      <c r="N21" s="86" t="s">
        <v>147</v>
      </c>
      <c r="O21" s="86" t="s">
        <v>148</v>
      </c>
      <c r="P21" s="86" t="s">
        <v>150</v>
      </c>
      <c r="Q21" s="86" t="s">
        <v>149</v>
      </c>
      <c r="R21" s="86" t="s">
        <v>151</v>
      </c>
      <c r="S21" s="86" t="s">
        <v>152</v>
      </c>
      <c r="T21" s="86" t="s">
        <v>153</v>
      </c>
      <c r="U21" s="86" t="s">
        <v>154</v>
      </c>
      <c r="V21" s="86" t="s">
        <v>155</v>
      </c>
      <c r="W21" s="86" t="s">
        <v>156</v>
      </c>
      <c r="X21" s="86" t="s">
        <v>157</v>
      </c>
      <c r="Y21" s="86" t="s">
        <v>158</v>
      </c>
    </row>
    <row r="22" spans="1:25" s="19" customFormat="1" ht="22.05" customHeight="1" x14ac:dyDescent="0.3">
      <c r="A22" s="17"/>
      <c r="B22" s="302" t="s">
        <v>4</v>
      </c>
      <c r="C22" s="291" t="s">
        <v>6</v>
      </c>
      <c r="D22" s="324"/>
      <c r="E22" s="51">
        <v>230</v>
      </c>
      <c r="F22" s="52">
        <v>9.6999999999999993</v>
      </c>
      <c r="G22" s="52">
        <v>13.2</v>
      </c>
      <c r="H22" s="52">
        <v>44.6</v>
      </c>
      <c r="I22" s="52">
        <v>335.9</v>
      </c>
      <c r="J22" s="53" t="s">
        <v>5</v>
      </c>
      <c r="K22" s="145">
        <v>24</v>
      </c>
      <c r="L22" s="163"/>
      <c r="M22" s="87">
        <v>0.28000000000000003</v>
      </c>
      <c r="N22" s="87">
        <v>0.15</v>
      </c>
      <c r="O22" s="87">
        <v>48.9</v>
      </c>
      <c r="P22" s="87">
        <v>0.8</v>
      </c>
      <c r="Q22" s="87">
        <v>0</v>
      </c>
      <c r="R22" s="87">
        <v>521</v>
      </c>
      <c r="S22" s="87">
        <v>293</v>
      </c>
      <c r="T22" s="87">
        <v>148</v>
      </c>
      <c r="U22" s="87">
        <v>67</v>
      </c>
      <c r="V22" s="87">
        <v>213</v>
      </c>
      <c r="W22" s="87">
        <v>3</v>
      </c>
      <c r="X22" s="87">
        <v>59.3</v>
      </c>
      <c r="Y22" s="87">
        <v>3.6</v>
      </c>
    </row>
    <row r="23" spans="1:25" s="19" customFormat="1" ht="22.05" customHeight="1" x14ac:dyDescent="0.3">
      <c r="A23" s="17"/>
      <c r="B23" s="302"/>
      <c r="C23" s="280" t="s">
        <v>114</v>
      </c>
      <c r="D23" s="280"/>
      <c r="E23" s="51">
        <v>40</v>
      </c>
      <c r="F23" s="52">
        <f>F16/100*40</f>
        <v>3.04</v>
      </c>
      <c r="G23" s="52">
        <f t="shared" ref="G23:I23" si="0">G16/100*40</f>
        <v>0.36000000000000004</v>
      </c>
      <c r="H23" s="52">
        <f t="shared" si="0"/>
        <v>19.880000000000003</v>
      </c>
      <c r="I23" s="52">
        <f t="shared" si="0"/>
        <v>90.399999999999991</v>
      </c>
      <c r="J23" s="51" t="s">
        <v>63</v>
      </c>
      <c r="K23" s="145">
        <v>3.64</v>
      </c>
      <c r="L23" s="163"/>
      <c r="M23" s="87">
        <f>M16</f>
        <v>0.16400000000000001</v>
      </c>
      <c r="N23" s="87">
        <f t="shared" ref="N23:Y23" si="1">N16</f>
        <v>0.10100000000000001</v>
      </c>
      <c r="O23" s="87">
        <f t="shared" si="1"/>
        <v>0</v>
      </c>
      <c r="P23" s="87">
        <f t="shared" si="1"/>
        <v>2.2400000000000002</v>
      </c>
      <c r="Q23" s="87">
        <f t="shared" si="1"/>
        <v>0.08</v>
      </c>
      <c r="R23" s="87">
        <f t="shared" si="1"/>
        <v>189.2</v>
      </c>
      <c r="S23" s="87">
        <f t="shared" si="1"/>
        <v>50</v>
      </c>
      <c r="T23" s="87">
        <f t="shared" si="1"/>
        <v>1.96</v>
      </c>
      <c r="U23" s="87">
        <f t="shared" si="1"/>
        <v>16.399999999999999</v>
      </c>
      <c r="V23" s="87">
        <f t="shared" si="1"/>
        <v>51.6</v>
      </c>
      <c r="W23" s="87">
        <f t="shared" si="1"/>
        <v>1.44</v>
      </c>
      <c r="X23" s="87">
        <f t="shared" si="1"/>
        <v>0</v>
      </c>
      <c r="Y23" s="87">
        <f t="shared" si="1"/>
        <v>11.52</v>
      </c>
    </row>
    <row r="24" spans="1:25" s="19" customFormat="1" ht="22.05" customHeight="1" x14ac:dyDescent="0.3">
      <c r="A24" s="17"/>
      <c r="B24" s="302"/>
      <c r="C24" s="280" t="s">
        <v>111</v>
      </c>
      <c r="D24" s="280"/>
      <c r="E24" s="51">
        <v>32</v>
      </c>
      <c r="F24" s="52">
        <f>F17/100*32</f>
        <v>1.504</v>
      </c>
      <c r="G24" s="52">
        <f t="shared" ref="G24:I24" si="2">G17/100*32</f>
        <v>0.22399999999999998</v>
      </c>
      <c r="H24" s="52">
        <f t="shared" si="2"/>
        <v>15.936</v>
      </c>
      <c r="I24" s="52">
        <f t="shared" si="2"/>
        <v>68.48</v>
      </c>
      <c r="J24" s="51" t="s">
        <v>63</v>
      </c>
      <c r="K24" s="145">
        <v>3.64</v>
      </c>
      <c r="L24" s="163"/>
      <c r="M24" s="87">
        <f>M17/40*32</f>
        <v>0.13600000000000001</v>
      </c>
      <c r="N24" s="87">
        <f t="shared" ref="N24:Y24" si="3">N17/40*32</f>
        <v>0.10400000000000001</v>
      </c>
      <c r="O24" s="87">
        <f t="shared" si="3"/>
        <v>0</v>
      </c>
      <c r="P24" s="87">
        <f t="shared" si="3"/>
        <v>1.216</v>
      </c>
      <c r="Q24" s="87">
        <f t="shared" si="3"/>
        <v>0.128</v>
      </c>
      <c r="R24" s="87">
        <f t="shared" si="3"/>
        <v>192.95999999999998</v>
      </c>
      <c r="S24" s="87">
        <f t="shared" si="3"/>
        <v>23.36</v>
      </c>
      <c r="T24" s="87">
        <f t="shared" si="3"/>
        <v>0.38400000000000001</v>
      </c>
      <c r="U24" s="87">
        <f t="shared" si="3"/>
        <v>12.8</v>
      </c>
      <c r="V24" s="87">
        <f t="shared" si="3"/>
        <v>40</v>
      </c>
      <c r="W24" s="87">
        <f t="shared" si="3"/>
        <v>0.90399999999999991</v>
      </c>
      <c r="X24" s="87">
        <f t="shared" si="3"/>
        <v>0</v>
      </c>
      <c r="Y24" s="87">
        <f t="shared" si="3"/>
        <v>9.8879999999999999</v>
      </c>
    </row>
    <row r="25" spans="1:25" s="19" customFormat="1" ht="22.05" customHeight="1" x14ac:dyDescent="0.3">
      <c r="A25" s="17"/>
      <c r="B25" s="302"/>
      <c r="C25" s="280" t="s">
        <v>224</v>
      </c>
      <c r="D25" s="280"/>
      <c r="E25" s="51">
        <v>200</v>
      </c>
      <c r="F25" s="52">
        <v>0.3</v>
      </c>
      <c r="G25" s="52">
        <v>0</v>
      </c>
      <c r="H25" s="52">
        <v>6.7</v>
      </c>
      <c r="I25" s="52">
        <v>27.6</v>
      </c>
      <c r="J25" s="53" t="s">
        <v>17</v>
      </c>
      <c r="K25" s="169">
        <v>5.72</v>
      </c>
      <c r="L25" s="163"/>
      <c r="M25" s="87">
        <v>0</v>
      </c>
      <c r="N25" s="87">
        <v>0.01</v>
      </c>
      <c r="O25" s="87">
        <v>0</v>
      </c>
      <c r="P25" s="87">
        <v>7.0000000000000007E-2</v>
      </c>
      <c r="Q25" s="87">
        <v>1</v>
      </c>
      <c r="R25" s="87">
        <v>2</v>
      </c>
      <c r="S25" s="87">
        <v>36</v>
      </c>
      <c r="T25" s="87">
        <v>6</v>
      </c>
      <c r="U25" s="87">
        <v>5</v>
      </c>
      <c r="V25" s="87">
        <v>8</v>
      </c>
      <c r="W25" s="87">
        <v>1</v>
      </c>
      <c r="X25" s="87">
        <v>0</v>
      </c>
      <c r="Y25" s="87">
        <v>0</v>
      </c>
    </row>
    <row r="26" spans="1:25" s="19" customFormat="1" ht="22.05" customHeight="1" x14ac:dyDescent="0.3">
      <c r="A26" s="17"/>
      <c r="B26" s="302"/>
      <c r="C26" s="280" t="s">
        <v>42</v>
      </c>
      <c r="D26" s="280"/>
      <c r="E26" s="51">
        <v>200</v>
      </c>
      <c r="F26" s="52">
        <v>0.8</v>
      </c>
      <c r="G26" s="52">
        <v>0.8</v>
      </c>
      <c r="H26" s="52">
        <v>19.600000000000001</v>
      </c>
      <c r="I26" s="52">
        <v>93.73</v>
      </c>
      <c r="J26" s="53">
        <v>338</v>
      </c>
      <c r="K26" s="145">
        <v>44</v>
      </c>
      <c r="L26" s="163"/>
      <c r="M26" s="87">
        <v>7.0000000000000007E-2</v>
      </c>
      <c r="N26" s="87">
        <v>0.04</v>
      </c>
      <c r="O26" s="87">
        <v>10</v>
      </c>
      <c r="P26" s="87">
        <v>0.76</v>
      </c>
      <c r="Q26" s="87">
        <v>20</v>
      </c>
      <c r="R26" s="87">
        <v>52</v>
      </c>
      <c r="S26" s="87">
        <v>556</v>
      </c>
      <c r="T26" s="87">
        <v>32</v>
      </c>
      <c r="U26" s="87">
        <v>18</v>
      </c>
      <c r="V26" s="87">
        <v>22</v>
      </c>
      <c r="W26" s="87">
        <v>4.4000000000000004</v>
      </c>
      <c r="X26" s="87">
        <v>4</v>
      </c>
      <c r="Y26" s="87">
        <v>0.6</v>
      </c>
    </row>
    <row r="27" spans="1:25" s="19" customFormat="1" ht="22.05" customHeight="1" x14ac:dyDescent="0.3">
      <c r="A27" s="17"/>
      <c r="B27" s="69"/>
      <c r="C27" s="319" t="s">
        <v>68</v>
      </c>
      <c r="D27" s="320"/>
      <c r="E27" s="70">
        <f>SUM(E22:E26)</f>
        <v>702</v>
      </c>
      <c r="F27" s="72">
        <f>SUM(F22:F26)</f>
        <v>15.343999999999999</v>
      </c>
      <c r="G27" s="72">
        <f>SUM(G22:G26)</f>
        <v>14.584</v>
      </c>
      <c r="H27" s="72">
        <f>SUM(H22:H26)</f>
        <v>106.71600000000001</v>
      </c>
      <c r="I27" s="72">
        <f>SUM(I22:I26)</f>
        <v>616.11</v>
      </c>
      <c r="J27" s="71"/>
      <c r="K27" s="58">
        <f>SUM(K22:K26)</f>
        <v>81</v>
      </c>
      <c r="L27" s="163"/>
      <c r="M27" s="109">
        <f t="shared" ref="M27:Y27" si="4">SUM(M22:M26)</f>
        <v>0.65000000000000013</v>
      </c>
      <c r="N27" s="109">
        <f t="shared" si="4"/>
        <v>0.40499999999999997</v>
      </c>
      <c r="O27" s="109">
        <f t="shared" si="4"/>
        <v>58.9</v>
      </c>
      <c r="P27" s="109">
        <f t="shared" si="4"/>
        <v>5.0860000000000003</v>
      </c>
      <c r="Q27" s="109">
        <f t="shared" si="4"/>
        <v>21.207999999999998</v>
      </c>
      <c r="R27" s="109">
        <f t="shared" si="4"/>
        <v>957.16000000000008</v>
      </c>
      <c r="S27" s="109">
        <f t="shared" si="4"/>
        <v>958.36</v>
      </c>
      <c r="T27" s="109">
        <f t="shared" si="4"/>
        <v>188.34399999999999</v>
      </c>
      <c r="U27" s="109">
        <f t="shared" si="4"/>
        <v>119.2</v>
      </c>
      <c r="V27" s="109">
        <f t="shared" si="4"/>
        <v>334.6</v>
      </c>
      <c r="W27" s="109">
        <f t="shared" si="4"/>
        <v>10.744</v>
      </c>
      <c r="X27" s="109">
        <f t="shared" si="4"/>
        <v>63.3</v>
      </c>
      <c r="Y27" s="109">
        <f t="shared" si="4"/>
        <v>25.608000000000001</v>
      </c>
    </row>
    <row r="28" spans="1:25" s="48" customFormat="1" ht="22.05" customHeight="1" x14ac:dyDescent="0.3">
      <c r="A28" s="20"/>
      <c r="B28" s="302" t="s">
        <v>9</v>
      </c>
      <c r="C28" s="280" t="s">
        <v>72</v>
      </c>
      <c r="D28" s="280"/>
      <c r="E28" s="51">
        <v>80</v>
      </c>
      <c r="F28" s="52">
        <v>0.5</v>
      </c>
      <c r="G28" s="52">
        <v>0</v>
      </c>
      <c r="H28" s="52">
        <v>303</v>
      </c>
      <c r="I28" s="52">
        <v>15.3</v>
      </c>
      <c r="J28" s="53" t="s">
        <v>203</v>
      </c>
      <c r="K28" s="145">
        <v>21.7</v>
      </c>
      <c r="L28" s="145"/>
      <c r="M28" s="87">
        <v>0.05</v>
      </c>
      <c r="N28" s="87">
        <v>0.03</v>
      </c>
      <c r="O28" s="87">
        <v>107</v>
      </c>
      <c r="P28" s="87">
        <v>0.43</v>
      </c>
      <c r="Q28" s="87">
        <v>20</v>
      </c>
      <c r="R28" s="87">
        <v>32</v>
      </c>
      <c r="S28" s="87">
        <v>232</v>
      </c>
      <c r="T28" s="87">
        <v>11</v>
      </c>
      <c r="U28" s="87">
        <v>16</v>
      </c>
      <c r="V28" s="87">
        <v>21</v>
      </c>
      <c r="W28" s="87">
        <v>1</v>
      </c>
      <c r="X28" s="87">
        <v>1.6</v>
      </c>
      <c r="Y28" s="87">
        <v>0</v>
      </c>
    </row>
    <row r="29" spans="1:25" s="48" customFormat="1" ht="22.05" customHeight="1" x14ac:dyDescent="0.3">
      <c r="A29" s="20"/>
      <c r="B29" s="302"/>
      <c r="C29" s="280" t="s">
        <v>37</v>
      </c>
      <c r="D29" s="280"/>
      <c r="E29" s="51">
        <v>200</v>
      </c>
      <c r="F29" s="52">
        <v>10.199999999999999</v>
      </c>
      <c r="G29" s="52">
        <v>9.4</v>
      </c>
      <c r="H29" s="52">
        <v>40.700000000000003</v>
      </c>
      <c r="I29" s="52">
        <v>288.8</v>
      </c>
      <c r="J29" s="53" t="s">
        <v>222</v>
      </c>
      <c r="K29" s="145"/>
      <c r="L29" s="145"/>
      <c r="M29" s="87">
        <v>0.08</v>
      </c>
      <c r="N29" s="87">
        <v>0.09</v>
      </c>
      <c r="O29" s="87">
        <v>46</v>
      </c>
      <c r="P29" s="87">
        <v>0.6</v>
      </c>
      <c r="Q29" s="87">
        <v>0</v>
      </c>
      <c r="R29" s="87">
        <v>453</v>
      </c>
      <c r="S29" s="87">
        <v>30</v>
      </c>
      <c r="T29" s="87">
        <v>245</v>
      </c>
      <c r="U29" s="87">
        <v>17</v>
      </c>
      <c r="V29" s="87">
        <v>141</v>
      </c>
      <c r="W29" s="87">
        <v>1</v>
      </c>
      <c r="X29" s="87">
        <v>26.7</v>
      </c>
      <c r="Y29" s="87">
        <v>0</v>
      </c>
    </row>
    <row r="30" spans="1:25" s="48" customFormat="1" ht="22.05" customHeight="1" x14ac:dyDescent="0.3">
      <c r="A30" s="20"/>
      <c r="B30" s="302"/>
      <c r="C30" s="280" t="s">
        <v>114</v>
      </c>
      <c r="D30" s="280"/>
      <c r="E30" s="51">
        <v>40</v>
      </c>
      <c r="F30" s="52">
        <f>F22/100*40</f>
        <v>3.8799999999999994</v>
      </c>
      <c r="G30" s="52">
        <f t="shared" ref="G30:I30" si="5">G22/100*40</f>
        <v>5.28</v>
      </c>
      <c r="H30" s="52">
        <f t="shared" si="5"/>
        <v>17.84</v>
      </c>
      <c r="I30" s="52">
        <f t="shared" si="5"/>
        <v>134.36000000000001</v>
      </c>
      <c r="J30" s="51" t="s">
        <v>63</v>
      </c>
      <c r="K30" s="145">
        <v>3.64</v>
      </c>
      <c r="L30" s="145"/>
      <c r="M30" s="87">
        <f>M22</f>
        <v>0.28000000000000003</v>
      </c>
      <c r="N30" s="87">
        <f t="shared" ref="N30:Y30" si="6">N22</f>
        <v>0.15</v>
      </c>
      <c r="O30" s="87">
        <f t="shared" si="6"/>
        <v>48.9</v>
      </c>
      <c r="P30" s="87">
        <f t="shared" si="6"/>
        <v>0.8</v>
      </c>
      <c r="Q30" s="87">
        <f t="shared" si="6"/>
        <v>0</v>
      </c>
      <c r="R30" s="87">
        <f t="shared" si="6"/>
        <v>521</v>
      </c>
      <c r="S30" s="87">
        <f t="shared" si="6"/>
        <v>293</v>
      </c>
      <c r="T30" s="87">
        <f t="shared" si="6"/>
        <v>148</v>
      </c>
      <c r="U30" s="87">
        <f t="shared" si="6"/>
        <v>67</v>
      </c>
      <c r="V30" s="87">
        <f t="shared" si="6"/>
        <v>213</v>
      </c>
      <c r="W30" s="87">
        <f t="shared" si="6"/>
        <v>3</v>
      </c>
      <c r="X30" s="87">
        <f t="shared" si="6"/>
        <v>59.3</v>
      </c>
      <c r="Y30" s="87">
        <f t="shared" si="6"/>
        <v>3.6</v>
      </c>
    </row>
    <row r="31" spans="1:25" s="48" customFormat="1" ht="22.05" customHeight="1" x14ac:dyDescent="0.3">
      <c r="A31" s="20"/>
      <c r="B31" s="302"/>
      <c r="C31" s="280" t="s">
        <v>118</v>
      </c>
      <c r="D31" s="280"/>
      <c r="E31" s="51">
        <v>28</v>
      </c>
      <c r="F31" s="52">
        <f>F23/100*28</f>
        <v>0.85119999999999996</v>
      </c>
      <c r="G31" s="52">
        <f t="shared" ref="G31:I31" si="7">G23/100*28</f>
        <v>0.10080000000000001</v>
      </c>
      <c r="H31" s="52">
        <f t="shared" si="7"/>
        <v>5.5664000000000007</v>
      </c>
      <c r="I31" s="52">
        <f t="shared" si="7"/>
        <v>25.311999999999998</v>
      </c>
      <c r="J31" s="51" t="s">
        <v>63</v>
      </c>
      <c r="K31" s="145">
        <v>2.64</v>
      </c>
      <c r="L31" s="145"/>
      <c r="M31" s="87">
        <f>M23/40*28</f>
        <v>0.11480000000000001</v>
      </c>
      <c r="N31" s="87">
        <f t="shared" ref="N31:Y31" si="8">N23/40*28</f>
        <v>7.0700000000000013E-2</v>
      </c>
      <c r="O31" s="87">
        <f t="shared" si="8"/>
        <v>0</v>
      </c>
      <c r="P31" s="87">
        <f t="shared" si="8"/>
        <v>1.5680000000000003</v>
      </c>
      <c r="Q31" s="87">
        <f t="shared" si="8"/>
        <v>5.6000000000000001E-2</v>
      </c>
      <c r="R31" s="87">
        <f t="shared" si="8"/>
        <v>132.44</v>
      </c>
      <c r="S31" s="87">
        <f t="shared" si="8"/>
        <v>35</v>
      </c>
      <c r="T31" s="87">
        <f t="shared" si="8"/>
        <v>1.3720000000000001</v>
      </c>
      <c r="U31" s="87">
        <f t="shared" si="8"/>
        <v>11.479999999999999</v>
      </c>
      <c r="V31" s="87">
        <f t="shared" si="8"/>
        <v>36.120000000000005</v>
      </c>
      <c r="W31" s="87">
        <f t="shared" si="8"/>
        <v>1.008</v>
      </c>
      <c r="X31" s="87">
        <f t="shared" si="8"/>
        <v>0</v>
      </c>
      <c r="Y31" s="87">
        <f t="shared" si="8"/>
        <v>8.0640000000000001</v>
      </c>
    </row>
    <row r="32" spans="1:25" s="48" customFormat="1" ht="22.05" customHeight="1" x14ac:dyDescent="0.3">
      <c r="A32" s="20"/>
      <c r="B32" s="302"/>
      <c r="C32" s="248" t="s">
        <v>190</v>
      </c>
      <c r="D32" s="249"/>
      <c r="E32" s="51">
        <v>200</v>
      </c>
      <c r="F32" s="52">
        <v>4.5999999999999996</v>
      </c>
      <c r="G32" s="52">
        <v>4.3</v>
      </c>
      <c r="H32" s="52">
        <v>12.4</v>
      </c>
      <c r="I32" s="52">
        <v>106.7</v>
      </c>
      <c r="J32" s="53" t="s">
        <v>191</v>
      </c>
      <c r="K32" s="145">
        <v>3.22</v>
      </c>
      <c r="L32" s="145"/>
      <c r="M32" s="87">
        <v>0</v>
      </c>
      <c r="N32" s="87">
        <v>0.2</v>
      </c>
      <c r="O32" s="87">
        <v>15.6</v>
      </c>
      <c r="P32" s="87">
        <v>0.2</v>
      </c>
      <c r="Q32" s="87">
        <v>1</v>
      </c>
      <c r="R32" s="87">
        <v>66</v>
      </c>
      <c r="S32" s="87">
        <v>265</v>
      </c>
      <c r="T32" s="87">
        <v>34</v>
      </c>
      <c r="U32" s="87">
        <v>34</v>
      </c>
      <c r="V32" s="87">
        <v>131</v>
      </c>
      <c r="W32" s="87">
        <v>1</v>
      </c>
      <c r="X32" s="87">
        <v>11.7</v>
      </c>
      <c r="Y32" s="87">
        <v>2.2999999999999998</v>
      </c>
    </row>
    <row r="33" spans="1:25" s="50" customFormat="1" ht="22.05" customHeight="1" x14ac:dyDescent="0.3">
      <c r="A33" s="49"/>
      <c r="B33" s="302"/>
      <c r="C33" s="273" t="s">
        <v>44</v>
      </c>
      <c r="D33" s="274"/>
      <c r="E33" s="54">
        <v>200</v>
      </c>
      <c r="F33" s="55">
        <v>0.41</v>
      </c>
      <c r="G33" s="55">
        <v>0</v>
      </c>
      <c r="H33" s="55">
        <v>22.59</v>
      </c>
      <c r="I33" s="55">
        <v>92</v>
      </c>
      <c r="J33" s="56" t="s">
        <v>63</v>
      </c>
      <c r="K33" s="146">
        <v>36</v>
      </c>
      <c r="L33" s="146"/>
      <c r="M33" s="129">
        <v>0.02</v>
      </c>
      <c r="N33" s="129">
        <v>0.02</v>
      </c>
      <c r="O33" s="129">
        <v>0</v>
      </c>
      <c r="P33" s="129">
        <v>0.04</v>
      </c>
      <c r="Q33" s="129">
        <v>4</v>
      </c>
      <c r="R33" s="129">
        <v>12</v>
      </c>
      <c r="S33" s="129">
        <v>240</v>
      </c>
      <c r="T33" s="129">
        <v>14</v>
      </c>
      <c r="U33" s="129">
        <v>8</v>
      </c>
      <c r="V33" s="129">
        <v>14</v>
      </c>
      <c r="W33" s="129">
        <v>2.8</v>
      </c>
      <c r="X33" s="129">
        <v>2</v>
      </c>
      <c r="Y33" s="129">
        <v>0</v>
      </c>
    </row>
    <row r="34" spans="1:25" s="48" customFormat="1" ht="22.05" customHeight="1" x14ac:dyDescent="0.3">
      <c r="A34" s="20"/>
      <c r="B34" s="43"/>
      <c r="C34" s="297" t="s">
        <v>64</v>
      </c>
      <c r="D34" s="297"/>
      <c r="E34" s="45">
        <f>SUM(E28:E33)</f>
        <v>748</v>
      </c>
      <c r="F34" s="58">
        <f t="shared" ref="F34:I34" si="9">SUM(F28:F33)</f>
        <v>20.441199999999998</v>
      </c>
      <c r="G34" s="58">
        <f t="shared" si="9"/>
        <v>19.0808</v>
      </c>
      <c r="H34" s="58">
        <f t="shared" si="9"/>
        <v>402.0963999999999</v>
      </c>
      <c r="I34" s="58">
        <f t="shared" si="9"/>
        <v>662.47200000000009</v>
      </c>
      <c r="J34" s="45"/>
      <c r="K34" s="58" t="e">
        <f>SUM(#REF!)</f>
        <v>#REF!</v>
      </c>
      <c r="L34" s="109"/>
      <c r="M34" s="109">
        <f>SUM(M28:M33)</f>
        <v>0.54480000000000006</v>
      </c>
      <c r="N34" s="109">
        <f t="shared" ref="N34:Y34" si="10">SUM(N28:N33)</f>
        <v>0.56069999999999998</v>
      </c>
      <c r="O34" s="109">
        <f t="shared" si="10"/>
        <v>217.5</v>
      </c>
      <c r="P34" s="109">
        <f t="shared" si="10"/>
        <v>3.6380000000000008</v>
      </c>
      <c r="Q34" s="109">
        <f t="shared" si="10"/>
        <v>25.056000000000001</v>
      </c>
      <c r="R34" s="109">
        <f t="shared" si="10"/>
        <v>1216.44</v>
      </c>
      <c r="S34" s="109">
        <f t="shared" si="10"/>
        <v>1095</v>
      </c>
      <c r="T34" s="109">
        <f t="shared" si="10"/>
        <v>453.37200000000001</v>
      </c>
      <c r="U34" s="109">
        <f t="shared" si="10"/>
        <v>153.48000000000002</v>
      </c>
      <c r="V34" s="109">
        <f t="shared" si="10"/>
        <v>556.12</v>
      </c>
      <c r="W34" s="109">
        <f t="shared" si="10"/>
        <v>9.8079999999999998</v>
      </c>
      <c r="X34" s="109">
        <f t="shared" si="10"/>
        <v>101.3</v>
      </c>
      <c r="Y34" s="109">
        <f t="shared" si="10"/>
        <v>13.963999999999999</v>
      </c>
    </row>
    <row r="35" spans="1:25" s="19" customFormat="1" ht="22.05" customHeight="1" x14ac:dyDescent="0.3">
      <c r="A35" s="17"/>
      <c r="B35" s="102"/>
      <c r="C35" s="103"/>
      <c r="D35" s="104"/>
      <c r="E35" s="105"/>
      <c r="F35" s="105"/>
      <c r="G35" s="105"/>
      <c r="H35" s="105"/>
      <c r="I35" s="105"/>
      <c r="J35" s="107"/>
      <c r="K35" s="18"/>
      <c r="L35" s="18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</row>
    <row r="36" spans="1:25" ht="22.05" customHeight="1" x14ac:dyDescent="0.3">
      <c r="A36" s="12"/>
      <c r="B36" s="36"/>
      <c r="C36" s="93"/>
      <c r="D36" s="93"/>
      <c r="E36" s="14"/>
      <c r="F36" s="37"/>
      <c r="G36" s="37"/>
      <c r="H36" s="37"/>
      <c r="I36" s="37"/>
      <c r="J36" s="14"/>
      <c r="K36" s="5"/>
      <c r="L36" s="5"/>
    </row>
    <row r="37" spans="1:25" s="19" customFormat="1" ht="22.05" customHeight="1" x14ac:dyDescent="0.3">
      <c r="A37" s="17"/>
      <c r="B37" s="252" t="s">
        <v>62</v>
      </c>
      <c r="C37" s="252"/>
      <c r="D37" s="252"/>
      <c r="E37" s="252"/>
      <c r="F37" s="252"/>
      <c r="G37" s="252"/>
      <c r="H37" s="252"/>
      <c r="I37" s="252"/>
      <c r="J37" s="252"/>
      <c r="K37" s="252"/>
      <c r="L37" s="18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</row>
    <row r="38" spans="1:25" s="19" customFormat="1" ht="22.05" customHeight="1" x14ac:dyDescent="0.3">
      <c r="A38" s="17"/>
      <c r="B38" s="253" t="s">
        <v>73</v>
      </c>
      <c r="C38" s="252" t="s">
        <v>1</v>
      </c>
      <c r="D38" s="252"/>
      <c r="E38" s="252" t="s">
        <v>2</v>
      </c>
      <c r="F38" s="252" t="s">
        <v>3</v>
      </c>
      <c r="G38" s="252"/>
      <c r="H38" s="252"/>
      <c r="I38" s="303" t="s">
        <v>145</v>
      </c>
      <c r="J38" s="252" t="s">
        <v>0</v>
      </c>
      <c r="K38" s="362" t="s">
        <v>185</v>
      </c>
      <c r="L38" s="166"/>
      <c r="M38" s="307" t="s">
        <v>159</v>
      </c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9"/>
    </row>
    <row r="39" spans="1:25" s="19" customFormat="1" ht="43.2" customHeight="1" x14ac:dyDescent="0.3">
      <c r="A39" s="17"/>
      <c r="B39" s="254"/>
      <c r="C39" s="252"/>
      <c r="D39" s="252"/>
      <c r="E39" s="252"/>
      <c r="F39" s="160" t="s">
        <v>142</v>
      </c>
      <c r="G39" s="160" t="s">
        <v>143</v>
      </c>
      <c r="H39" s="160" t="s">
        <v>144</v>
      </c>
      <c r="I39" s="303"/>
      <c r="J39" s="252"/>
      <c r="K39" s="362"/>
      <c r="L39" s="167"/>
      <c r="M39" s="310" t="s">
        <v>174</v>
      </c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2"/>
    </row>
    <row r="40" spans="1:25" s="19" customFormat="1" ht="22.05" customHeight="1" x14ac:dyDescent="0.3">
      <c r="A40" s="17"/>
      <c r="B40" s="361" t="s">
        <v>76</v>
      </c>
      <c r="C40" s="361"/>
      <c r="D40" s="361"/>
      <c r="E40" s="361"/>
      <c r="F40" s="361"/>
      <c r="G40" s="361"/>
      <c r="H40" s="361"/>
      <c r="I40" s="361"/>
      <c r="J40" s="361"/>
      <c r="K40" s="361"/>
      <c r="L40" s="174"/>
      <c r="M40" s="86" t="s">
        <v>146</v>
      </c>
      <c r="N40" s="86" t="s">
        <v>147</v>
      </c>
      <c r="O40" s="86" t="s">
        <v>148</v>
      </c>
      <c r="P40" s="86" t="s">
        <v>150</v>
      </c>
      <c r="Q40" s="86" t="s">
        <v>149</v>
      </c>
      <c r="R40" s="86" t="s">
        <v>151</v>
      </c>
      <c r="S40" s="86" t="s">
        <v>152</v>
      </c>
      <c r="T40" s="86" t="s">
        <v>153</v>
      </c>
      <c r="U40" s="86" t="s">
        <v>154</v>
      </c>
      <c r="V40" s="86" t="s">
        <v>155</v>
      </c>
      <c r="W40" s="86" t="s">
        <v>156</v>
      </c>
      <c r="X40" s="86" t="s">
        <v>157</v>
      </c>
      <c r="Y40" s="86" t="s">
        <v>158</v>
      </c>
    </row>
    <row r="41" spans="1:25" s="19" customFormat="1" ht="22.05" customHeight="1" x14ac:dyDescent="0.3">
      <c r="A41" s="17"/>
      <c r="B41" s="302" t="s">
        <v>4</v>
      </c>
      <c r="C41" s="280" t="s">
        <v>40</v>
      </c>
      <c r="D41" s="363"/>
      <c r="E41" s="51">
        <v>240</v>
      </c>
      <c r="F41" s="52">
        <v>10</v>
      </c>
      <c r="G41" s="52">
        <v>15.1</v>
      </c>
      <c r="H41" s="52">
        <v>44.2</v>
      </c>
      <c r="I41" s="52">
        <v>353</v>
      </c>
      <c r="J41" s="53" t="s">
        <v>39</v>
      </c>
      <c r="K41" s="145">
        <v>24.9</v>
      </c>
      <c r="L41" s="171"/>
      <c r="M41" s="87">
        <v>0.2</v>
      </c>
      <c r="N41" s="87">
        <v>0.17</v>
      </c>
      <c r="O41" s="87">
        <v>50.4</v>
      </c>
      <c r="P41" s="87">
        <v>0.6</v>
      </c>
      <c r="Q41" s="87">
        <v>0</v>
      </c>
      <c r="R41" s="87">
        <v>544.79999999999995</v>
      </c>
      <c r="S41" s="87">
        <v>352.8</v>
      </c>
      <c r="T41" s="87">
        <v>168</v>
      </c>
      <c r="U41" s="87">
        <v>75.599999999999994</v>
      </c>
      <c r="V41" s="87">
        <v>285.60000000000002</v>
      </c>
      <c r="W41" s="87">
        <v>2.4</v>
      </c>
      <c r="X41" s="87">
        <v>58.8</v>
      </c>
      <c r="Y41" s="87">
        <v>18</v>
      </c>
    </row>
    <row r="42" spans="1:25" s="19" customFormat="1" ht="22.05" customHeight="1" x14ac:dyDescent="0.3">
      <c r="A42" s="17"/>
      <c r="B42" s="302"/>
      <c r="C42" s="280" t="s">
        <v>110</v>
      </c>
      <c r="D42" s="280"/>
      <c r="E42" s="51">
        <v>46</v>
      </c>
      <c r="F42" s="52">
        <f>F16/100*46</f>
        <v>3.496</v>
      </c>
      <c r="G42" s="52">
        <f t="shared" ref="G42:I42" si="11">G16/100*46</f>
        <v>0.41400000000000003</v>
      </c>
      <c r="H42" s="52">
        <f t="shared" si="11"/>
        <v>22.862000000000002</v>
      </c>
      <c r="I42" s="52">
        <f t="shared" si="11"/>
        <v>103.96</v>
      </c>
      <c r="J42" s="51" t="s">
        <v>63</v>
      </c>
      <c r="K42" s="145">
        <v>3.64</v>
      </c>
      <c r="L42" s="171"/>
      <c r="M42" s="87">
        <f>M16/40*46</f>
        <v>0.18860000000000002</v>
      </c>
      <c r="N42" s="87">
        <f t="shared" ref="N42:Y42" si="12">N16/40*46</f>
        <v>0.11615000000000002</v>
      </c>
      <c r="O42" s="87">
        <f t="shared" si="12"/>
        <v>0</v>
      </c>
      <c r="P42" s="87">
        <f t="shared" si="12"/>
        <v>2.5760000000000005</v>
      </c>
      <c r="Q42" s="87">
        <f t="shared" si="12"/>
        <v>9.1999999999999998E-2</v>
      </c>
      <c r="R42" s="87">
        <f t="shared" si="12"/>
        <v>217.57999999999998</v>
      </c>
      <c r="S42" s="87">
        <f t="shared" si="12"/>
        <v>57.5</v>
      </c>
      <c r="T42" s="87">
        <f t="shared" si="12"/>
        <v>2.254</v>
      </c>
      <c r="U42" s="87">
        <f t="shared" si="12"/>
        <v>18.86</v>
      </c>
      <c r="V42" s="87">
        <f t="shared" si="12"/>
        <v>59.34</v>
      </c>
      <c r="W42" s="87">
        <f t="shared" si="12"/>
        <v>1.6559999999999999</v>
      </c>
      <c r="X42" s="87">
        <f t="shared" si="12"/>
        <v>0</v>
      </c>
      <c r="Y42" s="87">
        <f t="shared" si="12"/>
        <v>13.247999999999999</v>
      </c>
    </row>
    <row r="43" spans="1:25" s="19" customFormat="1" ht="22.05" customHeight="1" x14ac:dyDescent="0.3">
      <c r="A43" s="17"/>
      <c r="B43" s="302"/>
      <c r="C43" s="280" t="s">
        <v>118</v>
      </c>
      <c r="D43" s="280"/>
      <c r="E43" s="51">
        <v>30</v>
      </c>
      <c r="F43" s="52">
        <f>F17/100*30</f>
        <v>1.41</v>
      </c>
      <c r="G43" s="52">
        <f>G17/100*30</f>
        <v>0.20999999999999996</v>
      </c>
      <c r="H43" s="52">
        <f>H17/100*30</f>
        <v>14.94</v>
      </c>
      <c r="I43" s="52">
        <f>I17/100*30</f>
        <v>64.2</v>
      </c>
      <c r="J43" s="51" t="s">
        <v>63</v>
      </c>
      <c r="K43" s="145">
        <v>2.91</v>
      </c>
      <c r="L43" s="171"/>
      <c r="M43" s="87">
        <f t="shared" ref="M43:Y43" si="13">M17/40*30</f>
        <v>0.1275</v>
      </c>
      <c r="N43" s="87">
        <f t="shared" si="13"/>
        <v>9.7500000000000003E-2</v>
      </c>
      <c r="O43" s="87">
        <f t="shared" si="13"/>
        <v>0</v>
      </c>
      <c r="P43" s="87">
        <f t="shared" si="13"/>
        <v>1.1399999999999999</v>
      </c>
      <c r="Q43" s="87">
        <f t="shared" si="13"/>
        <v>0.12</v>
      </c>
      <c r="R43" s="87">
        <f t="shared" si="13"/>
        <v>180.89999999999998</v>
      </c>
      <c r="S43" s="87">
        <f t="shared" si="13"/>
        <v>21.9</v>
      </c>
      <c r="T43" s="87">
        <f t="shared" si="13"/>
        <v>0.36</v>
      </c>
      <c r="U43" s="87">
        <f t="shared" si="13"/>
        <v>12</v>
      </c>
      <c r="V43" s="87">
        <f t="shared" si="13"/>
        <v>37.5</v>
      </c>
      <c r="W43" s="87">
        <f t="shared" si="13"/>
        <v>0.84749999999999992</v>
      </c>
      <c r="X43" s="87">
        <f t="shared" si="13"/>
        <v>0</v>
      </c>
      <c r="Y43" s="87">
        <f t="shared" si="13"/>
        <v>9.27</v>
      </c>
    </row>
    <row r="44" spans="1:25" s="19" customFormat="1" ht="22.05" customHeight="1" x14ac:dyDescent="0.3">
      <c r="A44" s="17"/>
      <c r="B44" s="302"/>
      <c r="C44" s="248" t="s">
        <v>8</v>
      </c>
      <c r="D44" s="249"/>
      <c r="E44" s="51">
        <v>200</v>
      </c>
      <c r="F44" s="52">
        <v>3.8</v>
      </c>
      <c r="G44" s="52">
        <v>3.5</v>
      </c>
      <c r="H44" s="52">
        <v>11.1</v>
      </c>
      <c r="I44" s="52">
        <v>90.8</v>
      </c>
      <c r="J44" s="53" t="s">
        <v>7</v>
      </c>
      <c r="K44" s="169">
        <v>12.47</v>
      </c>
      <c r="L44" s="163"/>
      <c r="M44" s="87">
        <v>0.02</v>
      </c>
      <c r="N44" s="87">
        <v>0.11</v>
      </c>
      <c r="O44" s="87">
        <v>12</v>
      </c>
      <c r="P44" s="87">
        <v>0.2</v>
      </c>
      <c r="Q44" s="87">
        <v>0</v>
      </c>
      <c r="R44" s="87">
        <v>51</v>
      </c>
      <c r="S44" s="87">
        <v>221</v>
      </c>
      <c r="T44" s="87">
        <v>112</v>
      </c>
      <c r="U44" s="87">
        <v>30</v>
      </c>
      <c r="V44" s="87">
        <v>107</v>
      </c>
      <c r="W44" s="87">
        <v>1</v>
      </c>
      <c r="X44" s="87">
        <v>9</v>
      </c>
      <c r="Y44" s="87">
        <v>1.8</v>
      </c>
    </row>
    <row r="45" spans="1:25" s="19" customFormat="1" ht="22.05" customHeight="1" x14ac:dyDescent="0.3">
      <c r="A45" s="17"/>
      <c r="B45" s="302"/>
      <c r="C45" s="280" t="s">
        <v>164</v>
      </c>
      <c r="D45" s="280"/>
      <c r="E45" s="51">
        <v>100</v>
      </c>
      <c r="F45" s="52">
        <v>2.6</v>
      </c>
      <c r="G45" s="52">
        <v>2.5</v>
      </c>
      <c r="H45" s="52">
        <v>16</v>
      </c>
      <c r="I45" s="52">
        <v>95</v>
      </c>
      <c r="J45" s="51" t="s">
        <v>63</v>
      </c>
      <c r="K45" s="145">
        <v>35</v>
      </c>
      <c r="L45" s="171"/>
      <c r="M45" s="87">
        <v>0</v>
      </c>
      <c r="N45" s="87">
        <v>0</v>
      </c>
      <c r="O45" s="87">
        <v>500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</row>
    <row r="46" spans="1:25" s="19" customFormat="1" ht="22.05" customHeight="1" x14ac:dyDescent="0.3">
      <c r="A46" s="17"/>
      <c r="B46" s="45"/>
      <c r="C46" s="297" t="s">
        <v>71</v>
      </c>
      <c r="D46" s="360"/>
      <c r="E46" s="45">
        <f>SUM(E41:E45)</f>
        <v>616</v>
      </c>
      <c r="F46" s="58">
        <f>SUM(F41:F45)</f>
        <v>21.306000000000001</v>
      </c>
      <c r="G46" s="58">
        <f>SUM(G41:G45)</f>
        <v>21.724</v>
      </c>
      <c r="H46" s="58">
        <f>SUM(H41:H45)</f>
        <v>109.102</v>
      </c>
      <c r="I46" s="58">
        <f>SUM(I41:I45)</f>
        <v>706.95999999999992</v>
      </c>
      <c r="J46" s="45"/>
      <c r="K46" s="58">
        <f>SUM(K41:K45)</f>
        <v>78.92</v>
      </c>
      <c r="L46" s="171"/>
      <c r="M46" s="109">
        <f t="shared" ref="M46:Y46" si="14">SUM(M41:M45)</f>
        <v>0.53610000000000002</v>
      </c>
      <c r="N46" s="109">
        <f t="shared" si="14"/>
        <v>0.49365000000000003</v>
      </c>
      <c r="O46" s="109">
        <f t="shared" si="14"/>
        <v>562.4</v>
      </c>
      <c r="P46" s="109">
        <f t="shared" si="14"/>
        <v>4.5160000000000009</v>
      </c>
      <c r="Q46" s="109">
        <f t="shared" si="14"/>
        <v>0.21199999999999999</v>
      </c>
      <c r="R46" s="109">
        <f t="shared" si="14"/>
        <v>994.27999999999986</v>
      </c>
      <c r="S46" s="109">
        <f t="shared" si="14"/>
        <v>653.20000000000005</v>
      </c>
      <c r="T46" s="109">
        <f t="shared" si="14"/>
        <v>282.61400000000003</v>
      </c>
      <c r="U46" s="109">
        <f t="shared" si="14"/>
        <v>136.45999999999998</v>
      </c>
      <c r="V46" s="109">
        <f t="shared" si="14"/>
        <v>489.44000000000005</v>
      </c>
      <c r="W46" s="109">
        <f t="shared" si="14"/>
        <v>5.9035000000000002</v>
      </c>
      <c r="X46" s="109">
        <f t="shared" si="14"/>
        <v>67.8</v>
      </c>
      <c r="Y46" s="109">
        <f t="shared" si="14"/>
        <v>42.317999999999998</v>
      </c>
    </row>
    <row r="47" spans="1:25" s="20" customFormat="1" ht="22.05" customHeight="1" x14ac:dyDescent="0.3">
      <c r="B47" s="268" t="s">
        <v>9</v>
      </c>
      <c r="C47" s="248" t="s">
        <v>204</v>
      </c>
      <c r="D47" s="249"/>
      <c r="E47" s="51">
        <v>60</v>
      </c>
      <c r="F47" s="52">
        <v>1.8</v>
      </c>
      <c r="G47" s="52">
        <v>0.2</v>
      </c>
      <c r="H47" s="52">
        <v>3.6</v>
      </c>
      <c r="I47" s="52">
        <v>22.2</v>
      </c>
      <c r="J47" s="134" t="s">
        <v>205</v>
      </c>
      <c r="K47" s="145">
        <v>27.88</v>
      </c>
      <c r="L47" s="145"/>
      <c r="M47" s="130">
        <v>0.04</v>
      </c>
      <c r="N47" s="130">
        <v>7.0000000000000007E-2</v>
      </c>
      <c r="O47" s="130">
        <v>1.8</v>
      </c>
      <c r="P47" s="130">
        <v>1</v>
      </c>
      <c r="Q47" s="130">
        <v>2.8</v>
      </c>
      <c r="R47" s="130">
        <v>439.2</v>
      </c>
      <c r="S47" s="130">
        <v>162.69999999999999</v>
      </c>
      <c r="T47" s="130">
        <v>53.3</v>
      </c>
      <c r="U47" s="130">
        <v>16.2</v>
      </c>
      <c r="V47" s="130">
        <v>51.5</v>
      </c>
      <c r="W47" s="130">
        <v>0.5</v>
      </c>
      <c r="X47" s="130">
        <v>0</v>
      </c>
      <c r="Y47" s="130">
        <v>0.7</v>
      </c>
    </row>
    <row r="48" spans="1:25" s="48" customFormat="1" ht="22.05" customHeight="1" x14ac:dyDescent="0.3">
      <c r="A48" s="20"/>
      <c r="B48" s="268"/>
      <c r="C48" s="248" t="s">
        <v>10</v>
      </c>
      <c r="D48" s="249"/>
      <c r="E48" s="51">
        <v>230</v>
      </c>
      <c r="F48" s="52">
        <v>10.7</v>
      </c>
      <c r="G48" s="52">
        <v>8.6</v>
      </c>
      <c r="H48" s="52">
        <v>56.4</v>
      </c>
      <c r="I48" s="52">
        <v>345.5</v>
      </c>
      <c r="J48" s="134" t="s">
        <v>65</v>
      </c>
      <c r="K48" s="145">
        <v>14.27</v>
      </c>
      <c r="L48" s="145"/>
      <c r="M48" s="87">
        <v>0.3</v>
      </c>
      <c r="N48" s="87">
        <v>0.2</v>
      </c>
      <c r="O48" s="87">
        <v>42.2</v>
      </c>
      <c r="P48" s="87">
        <v>6.1</v>
      </c>
      <c r="Q48" s="87">
        <v>0</v>
      </c>
      <c r="R48" s="87">
        <v>228.5</v>
      </c>
      <c r="S48" s="87">
        <v>335.8</v>
      </c>
      <c r="T48" s="87">
        <v>21.5</v>
      </c>
      <c r="U48" s="87">
        <v>184</v>
      </c>
      <c r="V48" s="87">
        <v>276</v>
      </c>
      <c r="W48" s="87">
        <v>6.1</v>
      </c>
      <c r="X48" s="87">
        <v>34.200000000000003</v>
      </c>
      <c r="Y48" s="87">
        <v>5.4</v>
      </c>
    </row>
    <row r="49" spans="1:25" s="48" customFormat="1" ht="22.05" customHeight="1" x14ac:dyDescent="0.3">
      <c r="A49" s="20"/>
      <c r="B49" s="268"/>
      <c r="C49" s="248" t="s">
        <v>161</v>
      </c>
      <c r="D49" s="249"/>
      <c r="E49" s="51">
        <v>120</v>
      </c>
      <c r="F49" s="52">
        <v>16.899999999999999</v>
      </c>
      <c r="G49" s="52">
        <v>7.6</v>
      </c>
      <c r="H49" s="52">
        <v>5.3</v>
      </c>
      <c r="I49" s="52">
        <v>157.69</v>
      </c>
      <c r="J49" s="134" t="s">
        <v>168</v>
      </c>
      <c r="K49" s="145">
        <v>40.92</v>
      </c>
      <c r="L49" s="145"/>
      <c r="M49" s="87">
        <v>0.05</v>
      </c>
      <c r="N49" s="87">
        <v>0.06</v>
      </c>
      <c r="O49" s="87">
        <v>349.2</v>
      </c>
      <c r="P49" s="87">
        <v>4.75</v>
      </c>
      <c r="Q49" s="87">
        <v>1.6</v>
      </c>
      <c r="R49" s="87">
        <v>297.60000000000002</v>
      </c>
      <c r="S49" s="87">
        <v>249.6</v>
      </c>
      <c r="T49" s="87">
        <v>26.4</v>
      </c>
      <c r="U49" s="87">
        <v>64.8</v>
      </c>
      <c r="V49" s="87">
        <v>134.4</v>
      </c>
      <c r="W49" s="87">
        <v>1.2</v>
      </c>
      <c r="X49" s="87">
        <v>42</v>
      </c>
      <c r="Y49" s="87">
        <v>14.4</v>
      </c>
    </row>
    <row r="50" spans="1:25" s="48" customFormat="1" ht="22.05" customHeight="1" x14ac:dyDescent="0.3">
      <c r="A50" s="20"/>
      <c r="B50" s="268"/>
      <c r="C50" s="248" t="s">
        <v>114</v>
      </c>
      <c r="D50" s="249"/>
      <c r="E50" s="51">
        <v>50</v>
      </c>
      <c r="F50" s="52">
        <f>F16/100*50</f>
        <v>3.8</v>
      </c>
      <c r="G50" s="52">
        <f t="shared" ref="G50:I50" si="15">G16/100*50</f>
        <v>0.45000000000000007</v>
      </c>
      <c r="H50" s="52">
        <f t="shared" si="15"/>
        <v>24.85</v>
      </c>
      <c r="I50" s="52">
        <f t="shared" si="15"/>
        <v>112.99999999999999</v>
      </c>
      <c r="J50" s="135" t="s">
        <v>63</v>
      </c>
      <c r="K50" s="145">
        <v>3.64</v>
      </c>
      <c r="L50" s="145"/>
      <c r="M50" s="87">
        <f>M16/40*50</f>
        <v>0.20500000000000002</v>
      </c>
      <c r="N50" s="87">
        <f t="shared" ref="N50:Y50" si="16">N16/40*50</f>
        <v>0.12625000000000003</v>
      </c>
      <c r="O50" s="87">
        <f t="shared" si="16"/>
        <v>0</v>
      </c>
      <c r="P50" s="87">
        <f t="shared" si="16"/>
        <v>2.8000000000000003</v>
      </c>
      <c r="Q50" s="87">
        <f t="shared" si="16"/>
        <v>0.1</v>
      </c>
      <c r="R50" s="87">
        <f t="shared" si="16"/>
        <v>236.49999999999997</v>
      </c>
      <c r="S50" s="87">
        <f t="shared" si="16"/>
        <v>62.5</v>
      </c>
      <c r="T50" s="87">
        <f t="shared" si="16"/>
        <v>2.4500000000000002</v>
      </c>
      <c r="U50" s="87">
        <f t="shared" si="16"/>
        <v>20.5</v>
      </c>
      <c r="V50" s="87">
        <f t="shared" si="16"/>
        <v>64.5</v>
      </c>
      <c r="W50" s="87">
        <f t="shared" si="16"/>
        <v>1.7999999999999998</v>
      </c>
      <c r="X50" s="87">
        <f t="shared" si="16"/>
        <v>0</v>
      </c>
      <c r="Y50" s="87">
        <f t="shared" si="16"/>
        <v>14.399999999999999</v>
      </c>
    </row>
    <row r="51" spans="1:25" s="48" customFormat="1" ht="22.05" customHeight="1" x14ac:dyDescent="0.3">
      <c r="A51" s="20"/>
      <c r="B51" s="268"/>
      <c r="C51" s="248" t="s">
        <v>118</v>
      </c>
      <c r="D51" s="249"/>
      <c r="E51" s="51">
        <v>29</v>
      </c>
      <c r="F51" s="52">
        <f>F17/100*29</f>
        <v>1.363</v>
      </c>
      <c r="G51" s="52">
        <f t="shared" ref="G51:I51" si="17">G17/100*29</f>
        <v>0.20299999999999999</v>
      </c>
      <c r="H51" s="52">
        <f t="shared" si="17"/>
        <v>14.442</v>
      </c>
      <c r="I51" s="52">
        <f t="shared" si="17"/>
        <v>62.06</v>
      </c>
      <c r="J51" s="135" t="s">
        <v>63</v>
      </c>
      <c r="K51" s="145">
        <v>3.64</v>
      </c>
      <c r="L51" s="145"/>
      <c r="M51" s="87">
        <f>M17/40*29</f>
        <v>0.12325000000000001</v>
      </c>
      <c r="N51" s="87">
        <f t="shared" ref="N51:Y51" si="18">N17/40*29</f>
        <v>9.4250000000000014E-2</v>
      </c>
      <c r="O51" s="87">
        <f t="shared" si="18"/>
        <v>0</v>
      </c>
      <c r="P51" s="87">
        <f t="shared" si="18"/>
        <v>1.1019999999999999</v>
      </c>
      <c r="Q51" s="87">
        <f t="shared" si="18"/>
        <v>0.11600000000000001</v>
      </c>
      <c r="R51" s="87">
        <f t="shared" si="18"/>
        <v>174.86999999999998</v>
      </c>
      <c r="S51" s="87">
        <f t="shared" si="18"/>
        <v>21.169999999999998</v>
      </c>
      <c r="T51" s="87">
        <f t="shared" si="18"/>
        <v>0.34800000000000003</v>
      </c>
      <c r="U51" s="87">
        <f t="shared" si="18"/>
        <v>11.600000000000001</v>
      </c>
      <c r="V51" s="87">
        <f t="shared" si="18"/>
        <v>36.25</v>
      </c>
      <c r="W51" s="87">
        <f t="shared" si="18"/>
        <v>0.81924999999999992</v>
      </c>
      <c r="X51" s="87">
        <f t="shared" si="18"/>
        <v>0</v>
      </c>
      <c r="Y51" s="87">
        <f t="shared" si="18"/>
        <v>8.9610000000000003</v>
      </c>
    </row>
    <row r="52" spans="1:25" s="48" customFormat="1" ht="22.05" customHeight="1" x14ac:dyDescent="0.3">
      <c r="A52" s="20"/>
      <c r="B52" s="269"/>
      <c r="C52" s="248" t="s">
        <v>162</v>
      </c>
      <c r="D52" s="249"/>
      <c r="E52" s="51">
        <v>200</v>
      </c>
      <c r="F52" s="52">
        <v>0.2</v>
      </c>
      <c r="G52" s="52">
        <v>0.1</v>
      </c>
      <c r="H52" s="52">
        <v>12.5</v>
      </c>
      <c r="I52" s="52">
        <v>51.5</v>
      </c>
      <c r="J52" s="134" t="s">
        <v>163</v>
      </c>
      <c r="K52" s="145">
        <v>18.21</v>
      </c>
      <c r="L52" s="145"/>
      <c r="M52" s="87">
        <v>0.02</v>
      </c>
      <c r="N52" s="87">
        <v>0</v>
      </c>
      <c r="O52" s="87">
        <v>0.2</v>
      </c>
      <c r="P52" s="87">
        <v>0.1</v>
      </c>
      <c r="Q52" s="87">
        <v>1</v>
      </c>
      <c r="R52" s="87">
        <v>2</v>
      </c>
      <c r="S52" s="87">
        <v>23</v>
      </c>
      <c r="T52" s="87">
        <v>7</v>
      </c>
      <c r="U52" s="87">
        <v>1</v>
      </c>
      <c r="V52" s="87">
        <v>7</v>
      </c>
      <c r="W52" s="87">
        <v>0</v>
      </c>
      <c r="X52" s="87">
        <v>0</v>
      </c>
      <c r="Y52" s="87">
        <v>0</v>
      </c>
    </row>
    <row r="53" spans="1:25" s="48" customFormat="1" ht="22.05" customHeight="1" x14ac:dyDescent="0.3">
      <c r="A53" s="20"/>
      <c r="B53" s="43"/>
      <c r="C53" s="263" t="s">
        <v>64</v>
      </c>
      <c r="D53" s="264"/>
      <c r="E53" s="45">
        <f>SUM(E47:E52)</f>
        <v>689</v>
      </c>
      <c r="F53" s="45">
        <f t="shared" ref="F53:I53" si="19">SUM(F47:F52)</f>
        <v>34.762999999999998</v>
      </c>
      <c r="G53" s="45">
        <f t="shared" si="19"/>
        <v>17.152999999999999</v>
      </c>
      <c r="H53" s="45">
        <f t="shared" si="19"/>
        <v>117.09200000000001</v>
      </c>
      <c r="I53" s="45">
        <f t="shared" si="19"/>
        <v>751.95</v>
      </c>
      <c r="J53" s="45"/>
      <c r="K53" s="58" t="e">
        <f>SUM(#REF!)</f>
        <v>#REF!</v>
      </c>
      <c r="L53" s="109"/>
      <c r="M53" s="109">
        <f>SUM(M47:M52)</f>
        <v>0.73824999999999996</v>
      </c>
      <c r="N53" s="109">
        <f t="shared" ref="N53:Y53" si="20">SUM(N47:N52)</f>
        <v>0.5505000000000001</v>
      </c>
      <c r="O53" s="109">
        <f t="shared" si="20"/>
        <v>393.4</v>
      </c>
      <c r="P53" s="109">
        <f t="shared" si="20"/>
        <v>15.852</v>
      </c>
      <c r="Q53" s="109">
        <f t="shared" si="20"/>
        <v>5.6159999999999997</v>
      </c>
      <c r="R53" s="109">
        <f t="shared" si="20"/>
        <v>1378.6699999999998</v>
      </c>
      <c r="S53" s="109">
        <f t="shared" si="20"/>
        <v>854.77</v>
      </c>
      <c r="T53" s="109">
        <f t="shared" si="20"/>
        <v>110.99799999999999</v>
      </c>
      <c r="U53" s="109">
        <f t="shared" si="20"/>
        <v>298.10000000000002</v>
      </c>
      <c r="V53" s="109">
        <f t="shared" si="20"/>
        <v>569.65</v>
      </c>
      <c r="W53" s="109">
        <f t="shared" si="20"/>
        <v>10.41925</v>
      </c>
      <c r="X53" s="109">
        <f t="shared" si="20"/>
        <v>76.2</v>
      </c>
      <c r="Y53" s="109">
        <f t="shared" si="20"/>
        <v>43.860999999999997</v>
      </c>
    </row>
    <row r="54" spans="1:25" s="48" customFormat="1" ht="22.05" customHeight="1" x14ac:dyDescent="0.3">
      <c r="A54" s="20"/>
      <c r="B54" s="39"/>
      <c r="C54" s="40"/>
      <c r="D54" s="40"/>
      <c r="E54" s="95"/>
      <c r="F54" s="97"/>
      <c r="G54" s="97"/>
      <c r="H54" s="97"/>
      <c r="I54" s="97"/>
      <c r="J54" s="67"/>
      <c r="K54" s="97"/>
      <c r="L54" s="67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</row>
    <row r="55" spans="1:25" ht="22.05" customHeight="1" x14ac:dyDescent="0.3">
      <c r="A55" s="12"/>
      <c r="B55" s="36"/>
      <c r="C55" s="272"/>
      <c r="D55" s="272"/>
      <c r="E55" s="37"/>
      <c r="F55" s="37"/>
      <c r="G55" s="37"/>
      <c r="H55" s="37"/>
      <c r="I55" s="37"/>
      <c r="J55" s="15"/>
      <c r="K55" s="5"/>
      <c r="L55" s="5"/>
    </row>
    <row r="56" spans="1:25" s="19" customFormat="1" ht="22.05" customHeight="1" x14ac:dyDescent="0.3">
      <c r="A56" s="17"/>
      <c r="B56" s="252" t="s">
        <v>62</v>
      </c>
      <c r="C56" s="252"/>
      <c r="D56" s="252"/>
      <c r="E56" s="252"/>
      <c r="F56" s="252"/>
      <c r="G56" s="252"/>
      <c r="H56" s="252"/>
      <c r="I56" s="252"/>
      <c r="J56" s="252"/>
      <c r="K56" s="252"/>
      <c r="L56" s="18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</row>
    <row r="57" spans="1:25" s="19" customFormat="1" ht="22.05" customHeight="1" x14ac:dyDescent="0.3">
      <c r="A57" s="17"/>
      <c r="B57" s="253" t="s">
        <v>73</v>
      </c>
      <c r="C57" s="252" t="s">
        <v>1</v>
      </c>
      <c r="D57" s="252"/>
      <c r="E57" s="252" t="s">
        <v>2</v>
      </c>
      <c r="F57" s="252" t="s">
        <v>3</v>
      </c>
      <c r="G57" s="252"/>
      <c r="H57" s="252"/>
      <c r="I57" s="303" t="s">
        <v>145</v>
      </c>
      <c r="J57" s="252" t="s">
        <v>75</v>
      </c>
      <c r="K57" s="362" t="s">
        <v>185</v>
      </c>
      <c r="L57" s="166"/>
      <c r="M57" s="307" t="s">
        <v>159</v>
      </c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9"/>
    </row>
    <row r="58" spans="1:25" s="19" customFormat="1" ht="42.6" customHeight="1" x14ac:dyDescent="0.3">
      <c r="A58" s="17"/>
      <c r="B58" s="254"/>
      <c r="C58" s="252"/>
      <c r="D58" s="252"/>
      <c r="E58" s="252"/>
      <c r="F58" s="160" t="s">
        <v>142</v>
      </c>
      <c r="G58" s="160" t="s">
        <v>143</v>
      </c>
      <c r="H58" s="160" t="s">
        <v>144</v>
      </c>
      <c r="I58" s="303"/>
      <c r="J58" s="252"/>
      <c r="K58" s="362"/>
      <c r="L58" s="167"/>
      <c r="M58" s="310" t="s">
        <v>175</v>
      </c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2"/>
    </row>
    <row r="59" spans="1:25" s="19" customFormat="1" ht="22.05" customHeight="1" x14ac:dyDescent="0.3">
      <c r="A59" s="17"/>
      <c r="B59" s="361" t="s">
        <v>89</v>
      </c>
      <c r="C59" s="361"/>
      <c r="D59" s="361"/>
      <c r="E59" s="361"/>
      <c r="F59" s="361"/>
      <c r="G59" s="361"/>
      <c r="H59" s="361"/>
      <c r="I59" s="361"/>
      <c r="J59" s="361"/>
      <c r="K59" s="361"/>
      <c r="L59" s="174"/>
      <c r="M59" s="86" t="s">
        <v>146</v>
      </c>
      <c r="N59" s="86" t="s">
        <v>147</v>
      </c>
      <c r="O59" s="86" t="s">
        <v>148</v>
      </c>
      <c r="P59" s="86" t="s">
        <v>150</v>
      </c>
      <c r="Q59" s="86" t="s">
        <v>149</v>
      </c>
      <c r="R59" s="86" t="s">
        <v>151</v>
      </c>
      <c r="S59" s="86" t="s">
        <v>152</v>
      </c>
      <c r="T59" s="86" t="s">
        <v>153</v>
      </c>
      <c r="U59" s="86" t="s">
        <v>154</v>
      </c>
      <c r="V59" s="86" t="s">
        <v>155</v>
      </c>
      <c r="W59" s="86" t="s">
        <v>156</v>
      </c>
      <c r="X59" s="86" t="s">
        <v>157</v>
      </c>
      <c r="Y59" s="86" t="s">
        <v>158</v>
      </c>
    </row>
    <row r="60" spans="1:25" s="19" customFormat="1" ht="22.05" customHeight="1" x14ac:dyDescent="0.3">
      <c r="A60" s="17"/>
      <c r="B60" s="302" t="s">
        <v>4</v>
      </c>
      <c r="C60" s="280" t="s">
        <v>51</v>
      </c>
      <c r="D60" s="363"/>
      <c r="E60" s="51">
        <v>250</v>
      </c>
      <c r="F60" s="52">
        <v>8.9</v>
      </c>
      <c r="G60" s="52">
        <v>13.3</v>
      </c>
      <c r="H60" s="52">
        <v>57.5</v>
      </c>
      <c r="I60" s="52">
        <v>385.7</v>
      </c>
      <c r="J60" s="53" t="s">
        <v>50</v>
      </c>
      <c r="K60" s="145">
        <v>23.08</v>
      </c>
      <c r="L60" s="171"/>
      <c r="M60" s="87">
        <v>0.01</v>
      </c>
      <c r="N60" s="87">
        <v>0.17</v>
      </c>
      <c r="O60" s="87">
        <v>52.5</v>
      </c>
      <c r="P60" s="87">
        <v>0.7</v>
      </c>
      <c r="Q60" s="87">
        <v>1</v>
      </c>
      <c r="R60" s="87">
        <v>579</v>
      </c>
      <c r="S60" s="87">
        <v>291</v>
      </c>
      <c r="T60" s="87">
        <v>153</v>
      </c>
      <c r="U60" s="87">
        <v>38</v>
      </c>
      <c r="V60" s="87">
        <v>169</v>
      </c>
      <c r="W60" s="87">
        <v>2</v>
      </c>
      <c r="X60" s="87">
        <v>61.2</v>
      </c>
      <c r="Y60" s="87">
        <v>13</v>
      </c>
    </row>
    <row r="61" spans="1:25" s="19" customFormat="1" ht="22.05" customHeight="1" x14ac:dyDescent="0.3">
      <c r="A61" s="17"/>
      <c r="B61" s="302"/>
      <c r="C61" s="248" t="s">
        <v>16</v>
      </c>
      <c r="D61" s="249"/>
      <c r="E61" s="51">
        <v>15</v>
      </c>
      <c r="F61" s="52">
        <v>3.51</v>
      </c>
      <c r="G61" s="52">
        <v>4.5</v>
      </c>
      <c r="H61" s="52">
        <v>0</v>
      </c>
      <c r="I61" s="52">
        <v>54.5</v>
      </c>
      <c r="J61" s="53" t="s">
        <v>15</v>
      </c>
      <c r="K61" s="169">
        <v>10.97</v>
      </c>
      <c r="L61" s="163"/>
      <c r="M61" s="87">
        <v>0.01</v>
      </c>
      <c r="N61" s="87">
        <v>0.04</v>
      </c>
      <c r="O61" s="87">
        <v>39</v>
      </c>
      <c r="P61" s="87">
        <v>0.04</v>
      </c>
      <c r="Q61" s="87">
        <v>0</v>
      </c>
      <c r="R61" s="87">
        <v>150</v>
      </c>
      <c r="S61" s="87">
        <v>17</v>
      </c>
      <c r="T61" s="87">
        <v>150</v>
      </c>
      <c r="U61" s="87">
        <v>7</v>
      </c>
      <c r="V61" s="87">
        <v>82</v>
      </c>
      <c r="W61" s="87">
        <v>0</v>
      </c>
      <c r="X61" s="87">
        <v>0</v>
      </c>
      <c r="Y61" s="87">
        <v>0</v>
      </c>
    </row>
    <row r="62" spans="1:25" s="48" customFormat="1" ht="22.05" customHeight="1" x14ac:dyDescent="0.3">
      <c r="A62" s="20"/>
      <c r="B62" s="302"/>
      <c r="C62" s="280" t="s">
        <v>114</v>
      </c>
      <c r="D62" s="280"/>
      <c r="E62" s="51">
        <v>46</v>
      </c>
      <c r="F62" s="52">
        <f>F16/100*46</f>
        <v>3.496</v>
      </c>
      <c r="G62" s="52">
        <f t="shared" ref="G62:I62" si="21">G16/100*46</f>
        <v>0.41400000000000003</v>
      </c>
      <c r="H62" s="52">
        <f t="shared" si="21"/>
        <v>22.862000000000002</v>
      </c>
      <c r="I62" s="52">
        <f t="shared" si="21"/>
        <v>103.96</v>
      </c>
      <c r="J62" s="51" t="s">
        <v>63</v>
      </c>
      <c r="K62" s="145">
        <v>4.7300000000000004</v>
      </c>
      <c r="L62" s="145"/>
      <c r="M62" s="87">
        <f>M16/40*46</f>
        <v>0.18860000000000002</v>
      </c>
      <c r="N62" s="87">
        <f t="shared" ref="N62:Y62" si="22">N16/40*46</f>
        <v>0.11615000000000002</v>
      </c>
      <c r="O62" s="87">
        <f t="shared" si="22"/>
        <v>0</v>
      </c>
      <c r="P62" s="87">
        <f t="shared" si="22"/>
        <v>2.5760000000000005</v>
      </c>
      <c r="Q62" s="87">
        <f t="shared" si="22"/>
        <v>9.1999999999999998E-2</v>
      </c>
      <c r="R62" s="87">
        <f t="shared" si="22"/>
        <v>217.57999999999998</v>
      </c>
      <c r="S62" s="87">
        <f t="shared" si="22"/>
        <v>57.5</v>
      </c>
      <c r="T62" s="87">
        <f t="shared" si="22"/>
        <v>2.254</v>
      </c>
      <c r="U62" s="87">
        <f t="shared" si="22"/>
        <v>18.86</v>
      </c>
      <c r="V62" s="87">
        <f t="shared" si="22"/>
        <v>59.34</v>
      </c>
      <c r="W62" s="87">
        <f t="shared" si="22"/>
        <v>1.6559999999999999</v>
      </c>
      <c r="X62" s="87">
        <f t="shared" si="22"/>
        <v>0</v>
      </c>
      <c r="Y62" s="87">
        <f t="shared" si="22"/>
        <v>13.247999999999999</v>
      </c>
    </row>
    <row r="63" spans="1:25" s="48" customFormat="1" ht="22.05" customHeight="1" x14ac:dyDescent="0.3">
      <c r="A63" s="20"/>
      <c r="B63" s="302"/>
      <c r="C63" s="280" t="s">
        <v>111</v>
      </c>
      <c r="D63" s="280"/>
      <c r="E63" s="51">
        <v>35</v>
      </c>
      <c r="F63" s="52">
        <f>F17/100*35</f>
        <v>1.645</v>
      </c>
      <c r="G63" s="52">
        <f>G17/100*35</f>
        <v>0.24499999999999997</v>
      </c>
      <c r="H63" s="52">
        <f>H17/100*35</f>
        <v>17.43</v>
      </c>
      <c r="I63" s="52">
        <f>I17/100*35</f>
        <v>74.900000000000006</v>
      </c>
      <c r="J63" s="51" t="s">
        <v>63</v>
      </c>
      <c r="K63" s="145">
        <v>3.64</v>
      </c>
      <c r="L63" s="145"/>
      <c r="M63" s="87">
        <f t="shared" ref="M63:Y63" si="23">M17/40*35</f>
        <v>0.14875000000000002</v>
      </c>
      <c r="N63" s="87">
        <f t="shared" si="23"/>
        <v>0.11375</v>
      </c>
      <c r="O63" s="87">
        <f t="shared" si="23"/>
        <v>0</v>
      </c>
      <c r="P63" s="87">
        <f t="shared" si="23"/>
        <v>1.33</v>
      </c>
      <c r="Q63" s="87">
        <f t="shared" si="23"/>
        <v>0.14000000000000001</v>
      </c>
      <c r="R63" s="87">
        <f t="shared" si="23"/>
        <v>211.04999999999998</v>
      </c>
      <c r="S63" s="87">
        <f t="shared" si="23"/>
        <v>25.55</v>
      </c>
      <c r="T63" s="87">
        <f t="shared" si="23"/>
        <v>0.42</v>
      </c>
      <c r="U63" s="87">
        <f t="shared" si="23"/>
        <v>14</v>
      </c>
      <c r="V63" s="87">
        <f t="shared" si="23"/>
        <v>43.75</v>
      </c>
      <c r="W63" s="87">
        <f t="shared" si="23"/>
        <v>0.98874999999999991</v>
      </c>
      <c r="X63" s="87">
        <f t="shared" si="23"/>
        <v>0</v>
      </c>
      <c r="Y63" s="87">
        <f t="shared" si="23"/>
        <v>10.815</v>
      </c>
    </row>
    <row r="64" spans="1:25" s="19" customFormat="1" ht="22.05" customHeight="1" x14ac:dyDescent="0.3">
      <c r="A64" s="17"/>
      <c r="B64" s="302"/>
      <c r="C64" s="248" t="s">
        <v>24</v>
      </c>
      <c r="D64" s="249"/>
      <c r="E64" s="51">
        <v>200</v>
      </c>
      <c r="F64" s="52">
        <v>0.2</v>
      </c>
      <c r="G64" s="52">
        <v>0</v>
      </c>
      <c r="H64" s="52">
        <v>6.4</v>
      </c>
      <c r="I64" s="52">
        <v>26.4</v>
      </c>
      <c r="J64" s="53" t="s">
        <v>23</v>
      </c>
      <c r="K64" s="169">
        <v>1.22</v>
      </c>
      <c r="L64" s="163"/>
      <c r="M64" s="87">
        <v>0</v>
      </c>
      <c r="N64" s="87">
        <v>0</v>
      </c>
      <c r="O64" s="87">
        <v>0</v>
      </c>
      <c r="P64" s="87">
        <v>0.1</v>
      </c>
      <c r="Q64" s="87">
        <v>0</v>
      </c>
      <c r="R64" s="87">
        <v>1</v>
      </c>
      <c r="S64" s="87">
        <v>25</v>
      </c>
      <c r="T64" s="87">
        <v>4</v>
      </c>
      <c r="U64" s="87">
        <v>4</v>
      </c>
      <c r="V64" s="87">
        <v>7</v>
      </c>
      <c r="W64" s="87">
        <v>1</v>
      </c>
      <c r="X64" s="87">
        <v>0</v>
      </c>
      <c r="Y64" s="87">
        <v>0</v>
      </c>
    </row>
    <row r="65" spans="1:25" s="19" customFormat="1" ht="22.05" customHeight="1" x14ac:dyDescent="0.3">
      <c r="A65" s="17"/>
      <c r="B65" s="302"/>
      <c r="C65" s="280" t="s">
        <v>91</v>
      </c>
      <c r="D65" s="366"/>
      <c r="E65" s="51">
        <v>75</v>
      </c>
      <c r="F65" s="52">
        <v>4.7</v>
      </c>
      <c r="G65" s="52">
        <v>0.7</v>
      </c>
      <c r="H65" s="52">
        <v>40.5</v>
      </c>
      <c r="I65" s="52">
        <v>188.3</v>
      </c>
      <c r="J65" s="53" t="s">
        <v>63</v>
      </c>
      <c r="K65" s="145">
        <v>30</v>
      </c>
      <c r="L65" s="171"/>
      <c r="M65" s="87">
        <v>0.14000000000000001</v>
      </c>
      <c r="N65" s="87">
        <v>7.0000000000000007E-2</v>
      </c>
      <c r="O65" s="87">
        <v>1.95</v>
      </c>
      <c r="P65" s="87">
        <v>1.75</v>
      </c>
      <c r="Q65" s="87">
        <v>1.67</v>
      </c>
      <c r="R65" s="87">
        <v>818.63</v>
      </c>
      <c r="S65" s="87">
        <v>172.73</v>
      </c>
      <c r="T65" s="87">
        <v>22.52</v>
      </c>
      <c r="U65" s="87">
        <v>11.79</v>
      </c>
      <c r="V65" s="87">
        <v>54.15</v>
      </c>
      <c r="W65" s="87">
        <v>1.49</v>
      </c>
      <c r="X65" s="87">
        <v>0.93</v>
      </c>
      <c r="Y65" s="87">
        <v>2.4900000000000002</v>
      </c>
    </row>
    <row r="66" spans="1:25" s="19" customFormat="1" ht="22.05" customHeight="1" x14ac:dyDescent="0.3">
      <c r="A66" s="17"/>
      <c r="B66" s="69"/>
      <c r="C66" s="319" t="s">
        <v>68</v>
      </c>
      <c r="D66" s="320"/>
      <c r="E66" s="70">
        <f>SUM(E60:E65)</f>
        <v>621</v>
      </c>
      <c r="F66" s="72">
        <f>SUM(F60:F65)</f>
        <v>22.451000000000001</v>
      </c>
      <c r="G66" s="72">
        <f>SUM(G60:G65)</f>
        <v>19.159000000000002</v>
      </c>
      <c r="H66" s="72">
        <f>SUM(H60:H65)</f>
        <v>144.69200000000001</v>
      </c>
      <c r="I66" s="72">
        <f>SUM(I60:I65)</f>
        <v>833.76</v>
      </c>
      <c r="J66" s="71"/>
      <c r="K66" s="58">
        <f>SUM(K60:K65)</f>
        <v>73.64</v>
      </c>
      <c r="L66" s="171"/>
      <c r="M66" s="109">
        <f t="shared" ref="M66:Y66" si="24">SUM(M60:M65)</f>
        <v>0.49735000000000007</v>
      </c>
      <c r="N66" s="109">
        <f t="shared" si="24"/>
        <v>0.50990000000000002</v>
      </c>
      <c r="O66" s="109">
        <f t="shared" si="24"/>
        <v>93.45</v>
      </c>
      <c r="P66" s="109">
        <f t="shared" si="24"/>
        <v>6.4960000000000004</v>
      </c>
      <c r="Q66" s="109">
        <f t="shared" si="24"/>
        <v>2.9020000000000001</v>
      </c>
      <c r="R66" s="109">
        <f t="shared" si="24"/>
        <v>1977.2599999999998</v>
      </c>
      <c r="S66" s="109">
        <f t="shared" si="24"/>
        <v>588.78</v>
      </c>
      <c r="T66" s="109">
        <f t="shared" si="24"/>
        <v>332.19400000000002</v>
      </c>
      <c r="U66" s="109">
        <f t="shared" si="24"/>
        <v>93.65</v>
      </c>
      <c r="V66" s="109">
        <f t="shared" si="24"/>
        <v>415.24</v>
      </c>
      <c r="W66" s="109">
        <f t="shared" si="24"/>
        <v>7.1347499999999995</v>
      </c>
      <c r="X66" s="109">
        <f t="shared" si="24"/>
        <v>62.13</v>
      </c>
      <c r="Y66" s="109">
        <f t="shared" si="24"/>
        <v>39.552999999999997</v>
      </c>
    </row>
    <row r="67" spans="1:25" s="120" customFormat="1" ht="22.05" customHeight="1" x14ac:dyDescent="0.3">
      <c r="A67" s="20"/>
      <c r="B67" s="302" t="s">
        <v>9</v>
      </c>
      <c r="C67" s="293" t="s">
        <v>206</v>
      </c>
      <c r="D67" s="294"/>
      <c r="E67" s="51">
        <v>80</v>
      </c>
      <c r="F67" s="52">
        <v>0.39</v>
      </c>
      <c r="G67" s="52">
        <v>3.08</v>
      </c>
      <c r="H67" s="52">
        <v>2.23</v>
      </c>
      <c r="I67" s="52">
        <v>37.869999999999997</v>
      </c>
      <c r="J67" s="134" t="s">
        <v>207</v>
      </c>
      <c r="K67" s="145">
        <v>20.61</v>
      </c>
      <c r="L67" s="145"/>
      <c r="M67" s="119">
        <v>0.05</v>
      </c>
      <c r="N67" s="119">
        <v>0.05</v>
      </c>
      <c r="O67" s="119">
        <v>114.49</v>
      </c>
      <c r="P67" s="119">
        <v>0.36</v>
      </c>
      <c r="Q67" s="119">
        <v>19.559999999999999</v>
      </c>
      <c r="R67" s="119">
        <v>165.33</v>
      </c>
      <c r="S67" s="119">
        <v>236.44</v>
      </c>
      <c r="T67" s="119">
        <v>33.770000000000003</v>
      </c>
      <c r="U67" s="119">
        <v>17.77</v>
      </c>
      <c r="V67" s="119">
        <v>32</v>
      </c>
      <c r="W67" s="119">
        <v>0</v>
      </c>
      <c r="X67" s="119">
        <v>16.53</v>
      </c>
      <c r="Y67" s="119">
        <v>0.36</v>
      </c>
    </row>
    <row r="68" spans="1:25" s="48" customFormat="1" ht="22.05" customHeight="1" x14ac:dyDescent="0.3">
      <c r="A68" s="20"/>
      <c r="B68" s="302"/>
      <c r="C68" s="291" t="s">
        <v>30</v>
      </c>
      <c r="D68" s="291"/>
      <c r="E68" s="51">
        <v>200</v>
      </c>
      <c r="F68" s="52">
        <v>4.8</v>
      </c>
      <c r="G68" s="52">
        <v>7</v>
      </c>
      <c r="H68" s="52">
        <v>50.7</v>
      </c>
      <c r="I68" s="52">
        <v>284.7</v>
      </c>
      <c r="J68" s="53" t="s">
        <v>29</v>
      </c>
      <c r="K68" s="145">
        <v>15.4</v>
      </c>
      <c r="L68" s="145"/>
      <c r="M68" s="87">
        <v>0.04</v>
      </c>
      <c r="N68" s="87">
        <v>0.02</v>
      </c>
      <c r="O68" s="87">
        <v>27</v>
      </c>
      <c r="P68" s="87">
        <v>0.9</v>
      </c>
      <c r="Q68" s="87">
        <v>0</v>
      </c>
      <c r="R68" s="87">
        <v>275</v>
      </c>
      <c r="S68" s="87">
        <v>41</v>
      </c>
      <c r="T68" s="87">
        <v>20</v>
      </c>
      <c r="U68" s="87">
        <v>14</v>
      </c>
      <c r="V68" s="87">
        <v>62</v>
      </c>
      <c r="W68" s="87">
        <v>1</v>
      </c>
      <c r="X68" s="87">
        <v>26.7</v>
      </c>
      <c r="Y68" s="87">
        <v>9.6999999999999993</v>
      </c>
    </row>
    <row r="69" spans="1:25" s="48" customFormat="1" ht="22.05" customHeight="1" x14ac:dyDescent="0.3">
      <c r="A69" s="20"/>
      <c r="B69" s="302"/>
      <c r="C69" s="280" t="s">
        <v>165</v>
      </c>
      <c r="D69" s="280"/>
      <c r="E69" s="51">
        <v>100</v>
      </c>
      <c r="F69" s="52">
        <v>11.6</v>
      </c>
      <c r="G69" s="52">
        <v>6.1</v>
      </c>
      <c r="H69" s="52">
        <v>5.3</v>
      </c>
      <c r="I69" s="52">
        <v>122.3</v>
      </c>
      <c r="J69" s="53" t="s">
        <v>54</v>
      </c>
      <c r="K69" s="145">
        <v>42.96</v>
      </c>
      <c r="L69" s="145"/>
      <c r="M69" s="87">
        <v>7.0000000000000007E-2</v>
      </c>
      <c r="N69" s="87">
        <v>0.11</v>
      </c>
      <c r="O69" s="87">
        <v>60</v>
      </c>
      <c r="P69" s="87">
        <v>1</v>
      </c>
      <c r="Q69" s="87">
        <v>1.4</v>
      </c>
      <c r="R69" s="87">
        <v>130</v>
      </c>
      <c r="S69" s="87">
        <v>457.1</v>
      </c>
      <c r="T69" s="87">
        <v>21.4</v>
      </c>
      <c r="U69" s="87">
        <v>54.3</v>
      </c>
      <c r="V69" s="87">
        <v>27.1</v>
      </c>
      <c r="W69" s="87">
        <v>0</v>
      </c>
      <c r="X69" s="87">
        <v>143.6</v>
      </c>
      <c r="Y69" s="87">
        <v>12.1</v>
      </c>
    </row>
    <row r="70" spans="1:25" s="48" customFormat="1" ht="22.05" customHeight="1" x14ac:dyDescent="0.3">
      <c r="A70" s="20"/>
      <c r="B70" s="302"/>
      <c r="C70" s="280" t="s">
        <v>114</v>
      </c>
      <c r="D70" s="280"/>
      <c r="E70" s="51">
        <v>46</v>
      </c>
      <c r="F70" s="52">
        <f>F16/100*46</f>
        <v>3.496</v>
      </c>
      <c r="G70" s="52">
        <f t="shared" ref="G70:I70" si="25">G16/100*46</f>
        <v>0.41400000000000003</v>
      </c>
      <c r="H70" s="52">
        <f t="shared" si="25"/>
        <v>22.862000000000002</v>
      </c>
      <c r="I70" s="52">
        <f t="shared" si="25"/>
        <v>103.96</v>
      </c>
      <c r="J70" s="51" t="s">
        <v>63</v>
      </c>
      <c r="K70" s="145">
        <v>4.7300000000000004</v>
      </c>
      <c r="L70" s="145"/>
      <c r="M70" s="87">
        <f>M16/40*46</f>
        <v>0.18860000000000002</v>
      </c>
      <c r="N70" s="87">
        <f t="shared" ref="N70:Y70" si="26">N16/40*46</f>
        <v>0.11615000000000002</v>
      </c>
      <c r="O70" s="87">
        <f t="shared" si="26"/>
        <v>0</v>
      </c>
      <c r="P70" s="87">
        <f t="shared" si="26"/>
        <v>2.5760000000000005</v>
      </c>
      <c r="Q70" s="87">
        <f t="shared" si="26"/>
        <v>9.1999999999999998E-2</v>
      </c>
      <c r="R70" s="87">
        <f t="shared" si="26"/>
        <v>217.57999999999998</v>
      </c>
      <c r="S70" s="87">
        <f t="shared" si="26"/>
        <v>57.5</v>
      </c>
      <c r="T70" s="87">
        <f t="shared" si="26"/>
        <v>2.254</v>
      </c>
      <c r="U70" s="87">
        <f t="shared" si="26"/>
        <v>18.86</v>
      </c>
      <c r="V70" s="87">
        <f t="shared" si="26"/>
        <v>59.34</v>
      </c>
      <c r="W70" s="87">
        <f t="shared" si="26"/>
        <v>1.6559999999999999</v>
      </c>
      <c r="X70" s="87">
        <f t="shared" si="26"/>
        <v>0</v>
      </c>
      <c r="Y70" s="87">
        <f t="shared" si="26"/>
        <v>13.247999999999999</v>
      </c>
    </row>
    <row r="71" spans="1:25" s="48" customFormat="1" ht="22.05" customHeight="1" x14ac:dyDescent="0.3">
      <c r="A71" s="20"/>
      <c r="B71" s="302"/>
      <c r="C71" s="280" t="s">
        <v>118</v>
      </c>
      <c r="D71" s="280"/>
      <c r="E71" s="51">
        <v>28</v>
      </c>
      <c r="F71" s="52">
        <f>F17/100*28</f>
        <v>1.3160000000000001</v>
      </c>
      <c r="G71" s="52">
        <f t="shared" ref="G71:I71" si="27">G17/100*28</f>
        <v>0.19599999999999998</v>
      </c>
      <c r="H71" s="52">
        <f t="shared" si="27"/>
        <v>13.943999999999999</v>
      </c>
      <c r="I71" s="52">
        <f t="shared" si="27"/>
        <v>59.92</v>
      </c>
      <c r="J71" s="51" t="s">
        <v>63</v>
      </c>
      <c r="K71" s="145">
        <v>3.64</v>
      </c>
      <c r="L71" s="145"/>
      <c r="M71" s="87">
        <f>M17/40*28</f>
        <v>0.11900000000000001</v>
      </c>
      <c r="N71" s="87">
        <f t="shared" ref="N71:Y71" si="28">N17/40*28</f>
        <v>9.1000000000000011E-2</v>
      </c>
      <c r="O71" s="87">
        <f t="shared" si="28"/>
        <v>0</v>
      </c>
      <c r="P71" s="87">
        <f t="shared" si="28"/>
        <v>1.0640000000000001</v>
      </c>
      <c r="Q71" s="87">
        <f t="shared" si="28"/>
        <v>0.112</v>
      </c>
      <c r="R71" s="87">
        <f t="shared" si="28"/>
        <v>168.83999999999997</v>
      </c>
      <c r="S71" s="87">
        <f t="shared" si="28"/>
        <v>20.439999999999998</v>
      </c>
      <c r="T71" s="87">
        <f t="shared" si="28"/>
        <v>0.33600000000000002</v>
      </c>
      <c r="U71" s="87">
        <f t="shared" si="28"/>
        <v>11.200000000000001</v>
      </c>
      <c r="V71" s="87">
        <f t="shared" si="28"/>
        <v>35</v>
      </c>
      <c r="W71" s="87">
        <f t="shared" si="28"/>
        <v>0.79099999999999993</v>
      </c>
      <c r="X71" s="87">
        <f t="shared" si="28"/>
        <v>0</v>
      </c>
      <c r="Y71" s="87">
        <f t="shared" si="28"/>
        <v>8.6519999999999992</v>
      </c>
    </row>
    <row r="72" spans="1:25" s="48" customFormat="1" ht="22.05" customHeight="1" x14ac:dyDescent="0.3">
      <c r="A72" s="20"/>
      <c r="B72" s="302"/>
      <c r="C72" s="248" t="s">
        <v>192</v>
      </c>
      <c r="D72" s="249"/>
      <c r="E72" s="51">
        <v>200</v>
      </c>
      <c r="F72" s="52">
        <v>1.8</v>
      </c>
      <c r="G72" s="52">
        <v>0.1</v>
      </c>
      <c r="H72" s="52">
        <v>23.5</v>
      </c>
      <c r="I72" s="52">
        <v>102.2</v>
      </c>
      <c r="J72" s="134" t="s">
        <v>193</v>
      </c>
      <c r="K72" s="145">
        <v>15.71</v>
      </c>
      <c r="L72" s="145"/>
      <c r="M72" s="87">
        <v>0.03</v>
      </c>
      <c r="N72" s="87">
        <v>0.06</v>
      </c>
      <c r="O72" s="87">
        <v>129</v>
      </c>
      <c r="P72" s="87">
        <v>0.9</v>
      </c>
      <c r="Q72" s="87">
        <v>1</v>
      </c>
      <c r="R72" s="87">
        <v>6</v>
      </c>
      <c r="S72" s="87">
        <v>635</v>
      </c>
      <c r="T72" s="87">
        <v>52</v>
      </c>
      <c r="U72" s="87">
        <v>34</v>
      </c>
      <c r="V72" s="87">
        <v>47</v>
      </c>
      <c r="W72" s="87">
        <v>1</v>
      </c>
      <c r="X72" s="87">
        <v>0</v>
      </c>
      <c r="Y72" s="87">
        <v>0</v>
      </c>
    </row>
    <row r="73" spans="1:25" s="48" customFormat="1" ht="22.05" customHeight="1" x14ac:dyDescent="0.3">
      <c r="A73" s="20"/>
      <c r="B73" s="43"/>
      <c r="C73" s="297" t="s">
        <v>64</v>
      </c>
      <c r="D73" s="297"/>
      <c r="E73" s="45">
        <f>SUM(E67:E72)</f>
        <v>654</v>
      </c>
      <c r="F73" s="45">
        <f t="shared" ref="F73:I73" si="29">SUM(F67:F72)</f>
        <v>23.401999999999997</v>
      </c>
      <c r="G73" s="45">
        <f t="shared" si="29"/>
        <v>16.890000000000004</v>
      </c>
      <c r="H73" s="45">
        <f t="shared" si="29"/>
        <v>118.536</v>
      </c>
      <c r="I73" s="45">
        <f t="shared" si="29"/>
        <v>710.95</v>
      </c>
      <c r="J73" s="45"/>
      <c r="K73" s="58" t="e">
        <f>SUM(#REF!)</f>
        <v>#REF!</v>
      </c>
      <c r="L73" s="109"/>
      <c r="M73" s="109">
        <f>SUM(M67:M72)</f>
        <v>0.49760000000000004</v>
      </c>
      <c r="N73" s="109">
        <f t="shared" ref="N73:Y73" si="30">SUM(N67:N72)</f>
        <v>0.44715000000000005</v>
      </c>
      <c r="O73" s="109">
        <f t="shared" si="30"/>
        <v>330.49</v>
      </c>
      <c r="P73" s="109">
        <f t="shared" si="30"/>
        <v>6.8000000000000007</v>
      </c>
      <c r="Q73" s="109">
        <f t="shared" si="30"/>
        <v>22.163999999999994</v>
      </c>
      <c r="R73" s="109">
        <f t="shared" si="30"/>
        <v>962.75</v>
      </c>
      <c r="S73" s="109">
        <f t="shared" si="30"/>
        <v>1447.48</v>
      </c>
      <c r="T73" s="109">
        <f t="shared" si="30"/>
        <v>129.76</v>
      </c>
      <c r="U73" s="109">
        <f t="shared" si="30"/>
        <v>150.13</v>
      </c>
      <c r="V73" s="109">
        <f t="shared" si="30"/>
        <v>262.44</v>
      </c>
      <c r="W73" s="109">
        <f t="shared" si="30"/>
        <v>4.4469999999999992</v>
      </c>
      <c r="X73" s="109">
        <f t="shared" si="30"/>
        <v>186.82999999999998</v>
      </c>
      <c r="Y73" s="109">
        <f t="shared" si="30"/>
        <v>44.059999999999995</v>
      </c>
    </row>
    <row r="74" spans="1:25" ht="22.05" customHeight="1" x14ac:dyDescent="0.3">
      <c r="A74" s="12"/>
      <c r="B74" s="36"/>
      <c r="C74" s="93"/>
      <c r="D74" s="93"/>
      <c r="E74" s="14"/>
      <c r="F74" s="37"/>
      <c r="G74" s="37"/>
      <c r="H74" s="37"/>
      <c r="I74" s="37"/>
      <c r="J74" s="14"/>
      <c r="K74" s="172"/>
      <c r="L74" s="172"/>
    </row>
    <row r="75" spans="1:25" ht="22.05" customHeight="1" x14ac:dyDescent="0.3">
      <c r="A75" s="12"/>
      <c r="B75" s="36"/>
      <c r="C75" s="93"/>
      <c r="D75" s="93"/>
      <c r="E75" s="14"/>
      <c r="F75" s="37"/>
      <c r="G75" s="37"/>
      <c r="H75" s="37"/>
      <c r="I75" s="37"/>
      <c r="J75" s="14"/>
      <c r="K75" s="5"/>
      <c r="L75" s="5"/>
    </row>
    <row r="76" spans="1:25" s="19" customFormat="1" ht="22.05" customHeight="1" x14ac:dyDescent="0.3">
      <c r="A76" s="17"/>
      <c r="B76" s="252" t="s">
        <v>62</v>
      </c>
      <c r="C76" s="252"/>
      <c r="D76" s="252"/>
      <c r="E76" s="252"/>
      <c r="F76" s="252"/>
      <c r="G76" s="252"/>
      <c r="H76" s="252"/>
      <c r="I76" s="252"/>
      <c r="J76" s="252"/>
      <c r="K76" s="252"/>
      <c r="L76" s="18"/>
      <c r="M76" s="322"/>
      <c r="N76" s="322"/>
      <c r="O76" s="322"/>
      <c r="P76" s="322"/>
      <c r="Q76" s="322"/>
      <c r="R76" s="322"/>
      <c r="S76" s="322"/>
      <c r="T76" s="322"/>
      <c r="U76" s="322"/>
      <c r="V76" s="322"/>
      <c r="W76" s="322"/>
      <c r="X76" s="322"/>
      <c r="Y76" s="322"/>
    </row>
    <row r="77" spans="1:25" s="19" customFormat="1" ht="22.05" customHeight="1" x14ac:dyDescent="0.3">
      <c r="A77" s="17"/>
      <c r="B77" s="253" t="s">
        <v>73</v>
      </c>
      <c r="C77" s="252" t="s">
        <v>1</v>
      </c>
      <c r="D77" s="252"/>
      <c r="E77" s="252" t="s">
        <v>2</v>
      </c>
      <c r="F77" s="252" t="s">
        <v>3</v>
      </c>
      <c r="G77" s="252"/>
      <c r="H77" s="252"/>
      <c r="I77" s="303" t="s">
        <v>145</v>
      </c>
      <c r="J77" s="252" t="s">
        <v>75</v>
      </c>
      <c r="K77" s="362" t="s">
        <v>185</v>
      </c>
      <c r="L77" s="166"/>
      <c r="M77" s="307" t="s">
        <v>159</v>
      </c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9"/>
    </row>
    <row r="78" spans="1:25" s="19" customFormat="1" ht="43.2" customHeight="1" x14ac:dyDescent="0.3">
      <c r="A78" s="17"/>
      <c r="B78" s="254"/>
      <c r="C78" s="252"/>
      <c r="D78" s="252"/>
      <c r="E78" s="252"/>
      <c r="F78" s="160" t="s">
        <v>142</v>
      </c>
      <c r="G78" s="160" t="s">
        <v>143</v>
      </c>
      <c r="H78" s="160" t="s">
        <v>144</v>
      </c>
      <c r="I78" s="303"/>
      <c r="J78" s="252"/>
      <c r="K78" s="362"/>
      <c r="L78" s="167"/>
      <c r="M78" s="310" t="s">
        <v>176</v>
      </c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2"/>
    </row>
    <row r="79" spans="1:25" s="19" customFormat="1" ht="22.05" customHeight="1" x14ac:dyDescent="0.3">
      <c r="A79" s="17"/>
      <c r="B79" s="361" t="s">
        <v>77</v>
      </c>
      <c r="C79" s="361"/>
      <c r="D79" s="361"/>
      <c r="E79" s="361"/>
      <c r="F79" s="361"/>
      <c r="G79" s="361"/>
      <c r="H79" s="361"/>
      <c r="I79" s="361"/>
      <c r="J79" s="361"/>
      <c r="K79" s="361"/>
      <c r="L79" s="174"/>
      <c r="M79" s="86" t="s">
        <v>146</v>
      </c>
      <c r="N79" s="86" t="s">
        <v>147</v>
      </c>
      <c r="O79" s="86" t="s">
        <v>148</v>
      </c>
      <c r="P79" s="86" t="s">
        <v>150</v>
      </c>
      <c r="Q79" s="86" t="s">
        <v>149</v>
      </c>
      <c r="R79" s="86" t="s">
        <v>151</v>
      </c>
      <c r="S79" s="86" t="s">
        <v>152</v>
      </c>
      <c r="T79" s="86" t="s">
        <v>153</v>
      </c>
      <c r="U79" s="86" t="s">
        <v>154</v>
      </c>
      <c r="V79" s="86" t="s">
        <v>155</v>
      </c>
      <c r="W79" s="86" t="s">
        <v>156</v>
      </c>
      <c r="X79" s="86" t="s">
        <v>157</v>
      </c>
      <c r="Y79" s="86" t="s">
        <v>158</v>
      </c>
    </row>
    <row r="80" spans="1:25" s="19" customFormat="1" ht="22.05" customHeight="1" x14ac:dyDescent="0.3">
      <c r="A80" s="17"/>
      <c r="B80" s="302" t="s">
        <v>4</v>
      </c>
      <c r="C80" s="280" t="s">
        <v>70</v>
      </c>
      <c r="D80" s="363"/>
      <c r="E80" s="51">
        <v>170</v>
      </c>
      <c r="F80" s="52">
        <v>14.3</v>
      </c>
      <c r="G80" s="52">
        <v>21.9</v>
      </c>
      <c r="H80" s="52">
        <v>3.6</v>
      </c>
      <c r="I80" s="52">
        <v>268.7</v>
      </c>
      <c r="J80" s="53" t="s">
        <v>69</v>
      </c>
      <c r="K80" s="145">
        <v>49.56</v>
      </c>
      <c r="L80" s="171"/>
      <c r="M80" s="87">
        <v>7.0000000000000007E-2</v>
      </c>
      <c r="N80" s="87">
        <v>0.5</v>
      </c>
      <c r="O80" s="87">
        <v>248.2</v>
      </c>
      <c r="P80" s="87">
        <v>0.34</v>
      </c>
      <c r="Q80" s="87">
        <v>0</v>
      </c>
      <c r="R80" s="87">
        <v>728</v>
      </c>
      <c r="S80" s="87">
        <v>271</v>
      </c>
      <c r="T80" s="87">
        <v>447</v>
      </c>
      <c r="U80" s="87">
        <v>34</v>
      </c>
      <c r="V80" s="87">
        <v>390</v>
      </c>
      <c r="W80" s="87">
        <v>2.2999999999999998</v>
      </c>
      <c r="X80" s="87">
        <v>44</v>
      </c>
      <c r="Y80" s="87">
        <v>27.4</v>
      </c>
    </row>
    <row r="81" spans="1:25" s="19" customFormat="1" ht="22.05" customHeight="1" x14ac:dyDescent="0.3">
      <c r="A81" s="17"/>
      <c r="B81" s="302"/>
      <c r="C81" s="248" t="s">
        <v>16</v>
      </c>
      <c r="D81" s="249"/>
      <c r="E81" s="51">
        <v>15</v>
      </c>
      <c r="F81" s="52">
        <v>3.51</v>
      </c>
      <c r="G81" s="52">
        <v>4.5</v>
      </c>
      <c r="H81" s="52">
        <v>0</v>
      </c>
      <c r="I81" s="52">
        <v>54.5</v>
      </c>
      <c r="J81" s="53" t="s">
        <v>15</v>
      </c>
      <c r="K81" s="169">
        <v>10.97</v>
      </c>
      <c r="L81" s="163"/>
      <c r="M81" s="87">
        <v>0.01</v>
      </c>
      <c r="N81" s="87">
        <v>0.04</v>
      </c>
      <c r="O81" s="87">
        <v>39</v>
      </c>
      <c r="P81" s="87">
        <v>0.04</v>
      </c>
      <c r="Q81" s="87">
        <v>0</v>
      </c>
      <c r="R81" s="87">
        <v>150</v>
      </c>
      <c r="S81" s="87">
        <v>17</v>
      </c>
      <c r="T81" s="87">
        <v>150</v>
      </c>
      <c r="U81" s="87">
        <v>7</v>
      </c>
      <c r="V81" s="87">
        <v>82</v>
      </c>
      <c r="W81" s="87">
        <v>0</v>
      </c>
      <c r="X81" s="87">
        <v>0</v>
      </c>
      <c r="Y81" s="87">
        <v>0</v>
      </c>
    </row>
    <row r="82" spans="1:25" s="19" customFormat="1" ht="22.05" customHeight="1" x14ac:dyDescent="0.3">
      <c r="B82" s="302"/>
      <c r="C82" s="346" t="s">
        <v>25</v>
      </c>
      <c r="D82" s="347"/>
      <c r="E82" s="68">
        <v>10</v>
      </c>
      <c r="F82" s="61">
        <v>0.1</v>
      </c>
      <c r="G82" s="61">
        <v>8.3000000000000007</v>
      </c>
      <c r="H82" s="61">
        <v>0.1</v>
      </c>
      <c r="I82" s="61">
        <v>74.900000000000006</v>
      </c>
      <c r="J82" s="137" t="s">
        <v>225</v>
      </c>
      <c r="K82" s="234">
        <v>7.4</v>
      </c>
      <c r="L82" s="235"/>
      <c r="M82" s="232">
        <v>0</v>
      </c>
      <c r="N82" s="232">
        <v>0</v>
      </c>
      <c r="O82" s="232">
        <v>50</v>
      </c>
      <c r="P82" s="232">
        <v>0.01</v>
      </c>
      <c r="Q82" s="232">
        <v>0</v>
      </c>
      <c r="R82" s="232">
        <v>7</v>
      </c>
      <c r="S82" s="232">
        <v>2</v>
      </c>
      <c r="T82" s="232">
        <v>2</v>
      </c>
      <c r="U82" s="232">
        <v>0</v>
      </c>
      <c r="V82" s="232">
        <v>2</v>
      </c>
      <c r="W82" s="232">
        <v>0</v>
      </c>
      <c r="X82" s="232">
        <v>0</v>
      </c>
      <c r="Y82" s="232">
        <v>0</v>
      </c>
    </row>
    <row r="83" spans="1:25" s="19" customFormat="1" ht="22.05" customHeight="1" x14ac:dyDescent="0.3">
      <c r="A83" s="17"/>
      <c r="B83" s="302"/>
      <c r="C83" s="280" t="s">
        <v>114</v>
      </c>
      <c r="D83" s="280"/>
      <c r="E83" s="51">
        <v>37</v>
      </c>
      <c r="F83" s="52">
        <f>F16/100*37</f>
        <v>2.8119999999999998</v>
      </c>
      <c r="G83" s="52">
        <f t="shared" ref="G83:I83" si="31">G16/100*37</f>
        <v>0.33300000000000002</v>
      </c>
      <c r="H83" s="52">
        <f t="shared" si="31"/>
        <v>18.389000000000003</v>
      </c>
      <c r="I83" s="52">
        <f t="shared" si="31"/>
        <v>83.61999999999999</v>
      </c>
      <c r="J83" s="51" t="s">
        <v>63</v>
      </c>
      <c r="K83" s="145">
        <v>4.55</v>
      </c>
      <c r="L83" s="171"/>
      <c r="M83" s="87">
        <f>M16/40*37</f>
        <v>0.1517</v>
      </c>
      <c r="N83" s="87">
        <f t="shared" ref="N83:Y83" si="32">N16/40*37</f>
        <v>9.3425000000000008E-2</v>
      </c>
      <c r="O83" s="87">
        <f t="shared" si="32"/>
        <v>0</v>
      </c>
      <c r="P83" s="87">
        <f t="shared" si="32"/>
        <v>2.0720000000000005</v>
      </c>
      <c r="Q83" s="87">
        <f t="shared" si="32"/>
        <v>7.3999999999999996E-2</v>
      </c>
      <c r="R83" s="87">
        <f t="shared" si="32"/>
        <v>175.01</v>
      </c>
      <c r="S83" s="87">
        <f t="shared" si="32"/>
        <v>46.25</v>
      </c>
      <c r="T83" s="87">
        <f t="shared" si="32"/>
        <v>1.8130000000000002</v>
      </c>
      <c r="U83" s="87">
        <f t="shared" si="32"/>
        <v>15.17</v>
      </c>
      <c r="V83" s="87">
        <f t="shared" si="32"/>
        <v>47.730000000000004</v>
      </c>
      <c r="W83" s="87">
        <f t="shared" si="32"/>
        <v>1.3319999999999999</v>
      </c>
      <c r="X83" s="87">
        <f t="shared" si="32"/>
        <v>0</v>
      </c>
      <c r="Y83" s="87">
        <f t="shared" si="32"/>
        <v>10.655999999999999</v>
      </c>
    </row>
    <row r="84" spans="1:25" s="19" customFormat="1" ht="22.05" customHeight="1" x14ac:dyDescent="0.3">
      <c r="A84" s="17"/>
      <c r="B84" s="302"/>
      <c r="C84" s="280" t="s">
        <v>111</v>
      </c>
      <c r="D84" s="280"/>
      <c r="E84" s="51">
        <v>28</v>
      </c>
      <c r="F84" s="52">
        <f>F17/100*28</f>
        <v>1.3160000000000001</v>
      </c>
      <c r="G84" s="52">
        <f t="shared" ref="G84:I84" si="33">G17/100*28</f>
        <v>0.19599999999999998</v>
      </c>
      <c r="H84" s="52">
        <f t="shared" si="33"/>
        <v>13.943999999999999</v>
      </c>
      <c r="I84" s="52">
        <f t="shared" si="33"/>
        <v>59.92</v>
      </c>
      <c r="J84" s="51" t="s">
        <v>63</v>
      </c>
      <c r="K84" s="145">
        <v>3.45</v>
      </c>
      <c r="L84" s="171"/>
      <c r="M84" s="87">
        <f>M17/40*28</f>
        <v>0.11900000000000001</v>
      </c>
      <c r="N84" s="87">
        <f t="shared" ref="N84:Y84" si="34">N17/40*28</f>
        <v>9.1000000000000011E-2</v>
      </c>
      <c r="O84" s="87">
        <f t="shared" si="34"/>
        <v>0</v>
      </c>
      <c r="P84" s="87">
        <f t="shared" si="34"/>
        <v>1.0640000000000001</v>
      </c>
      <c r="Q84" s="87">
        <f t="shared" si="34"/>
        <v>0.112</v>
      </c>
      <c r="R84" s="87">
        <f t="shared" si="34"/>
        <v>168.83999999999997</v>
      </c>
      <c r="S84" s="87">
        <f t="shared" si="34"/>
        <v>20.439999999999998</v>
      </c>
      <c r="T84" s="87">
        <f t="shared" si="34"/>
        <v>0.33600000000000002</v>
      </c>
      <c r="U84" s="87">
        <f t="shared" si="34"/>
        <v>11.200000000000001</v>
      </c>
      <c r="V84" s="87">
        <f t="shared" si="34"/>
        <v>35</v>
      </c>
      <c r="W84" s="87">
        <f t="shared" si="34"/>
        <v>0.79099999999999993</v>
      </c>
      <c r="X84" s="87">
        <f t="shared" si="34"/>
        <v>0</v>
      </c>
      <c r="Y84" s="87">
        <f t="shared" si="34"/>
        <v>8.6519999999999992</v>
      </c>
    </row>
    <row r="85" spans="1:25" s="19" customFormat="1" ht="30" customHeight="1" x14ac:dyDescent="0.3">
      <c r="A85" s="17"/>
      <c r="B85" s="302"/>
      <c r="C85" s="348" t="s">
        <v>18</v>
      </c>
      <c r="D85" s="349"/>
      <c r="E85" s="51">
        <v>200</v>
      </c>
      <c r="F85" s="52">
        <v>0.3</v>
      </c>
      <c r="G85" s="52">
        <v>0</v>
      </c>
      <c r="H85" s="52">
        <v>6.7</v>
      </c>
      <c r="I85" s="52">
        <v>27.6</v>
      </c>
      <c r="J85" s="134" t="s">
        <v>17</v>
      </c>
      <c r="K85" s="230">
        <v>3.22</v>
      </c>
      <c r="L85" s="231"/>
      <c r="M85" s="232">
        <v>0</v>
      </c>
      <c r="N85" s="232">
        <v>0.01</v>
      </c>
      <c r="O85" s="232">
        <v>0</v>
      </c>
      <c r="P85" s="232">
        <v>7.0000000000000007E-2</v>
      </c>
      <c r="Q85" s="232">
        <v>1</v>
      </c>
      <c r="R85" s="232">
        <v>2</v>
      </c>
      <c r="S85" s="232">
        <v>36</v>
      </c>
      <c r="T85" s="232">
        <v>6</v>
      </c>
      <c r="U85" s="232">
        <v>5</v>
      </c>
      <c r="V85" s="232">
        <v>8</v>
      </c>
      <c r="W85" s="232">
        <v>1</v>
      </c>
      <c r="X85" s="232">
        <v>0</v>
      </c>
      <c r="Y85" s="232">
        <v>0</v>
      </c>
    </row>
    <row r="86" spans="1:25" s="19" customFormat="1" ht="22.05" customHeight="1" x14ac:dyDescent="0.3">
      <c r="A86" s="17"/>
      <c r="B86" s="69"/>
      <c r="C86" s="319" t="s">
        <v>68</v>
      </c>
      <c r="D86" s="320"/>
      <c r="E86" s="70">
        <f>SUM(E80:E85)</f>
        <v>460</v>
      </c>
      <c r="F86" s="72">
        <f>SUM(F80:F85)</f>
        <v>22.338000000000005</v>
      </c>
      <c r="G86" s="72">
        <f>SUM(G80:G85)</f>
        <v>35.228999999999999</v>
      </c>
      <c r="H86" s="72">
        <f>SUM(H80:H85)</f>
        <v>42.733000000000004</v>
      </c>
      <c r="I86" s="72">
        <f>SUM(I80:I85)</f>
        <v>569.24</v>
      </c>
      <c r="J86" s="71"/>
      <c r="K86" s="58">
        <f>SUM(K80:K85)</f>
        <v>79.150000000000006</v>
      </c>
      <c r="L86" s="171"/>
      <c r="M86" s="109">
        <f t="shared" ref="M86:Y86" si="35">SUM(M80:M85)</f>
        <v>0.35070000000000001</v>
      </c>
      <c r="N86" s="109">
        <f t="shared" si="35"/>
        <v>0.73442499999999999</v>
      </c>
      <c r="O86" s="109">
        <f t="shared" si="35"/>
        <v>337.2</v>
      </c>
      <c r="P86" s="109">
        <f t="shared" si="35"/>
        <v>3.5960000000000005</v>
      </c>
      <c r="Q86" s="109">
        <f t="shared" si="35"/>
        <v>1.1859999999999999</v>
      </c>
      <c r="R86" s="109">
        <f t="shared" si="35"/>
        <v>1230.8499999999999</v>
      </c>
      <c r="S86" s="109">
        <f t="shared" si="35"/>
        <v>392.69</v>
      </c>
      <c r="T86" s="109">
        <f t="shared" si="35"/>
        <v>607.149</v>
      </c>
      <c r="U86" s="109">
        <f t="shared" si="35"/>
        <v>72.37</v>
      </c>
      <c r="V86" s="109">
        <f t="shared" si="35"/>
        <v>564.73</v>
      </c>
      <c r="W86" s="109">
        <f t="shared" si="35"/>
        <v>5.423</v>
      </c>
      <c r="X86" s="109">
        <f t="shared" si="35"/>
        <v>44</v>
      </c>
      <c r="Y86" s="109">
        <f t="shared" si="35"/>
        <v>46.707999999999998</v>
      </c>
    </row>
    <row r="87" spans="1:25" s="120" customFormat="1" ht="22.05" customHeight="1" x14ac:dyDescent="0.3">
      <c r="A87" s="20"/>
      <c r="B87" s="268" t="s">
        <v>9</v>
      </c>
      <c r="C87" s="248" t="s">
        <v>208</v>
      </c>
      <c r="D87" s="249"/>
      <c r="E87" s="51">
        <v>100</v>
      </c>
      <c r="F87" s="52">
        <v>1.1100000000000001</v>
      </c>
      <c r="G87" s="52">
        <v>3.34</v>
      </c>
      <c r="H87" s="52">
        <v>7.96</v>
      </c>
      <c r="I87" s="52">
        <v>65.8</v>
      </c>
      <c r="J87" s="134">
        <v>15</v>
      </c>
      <c r="K87" s="145">
        <v>12.83</v>
      </c>
      <c r="L87" s="145"/>
      <c r="M87" s="119">
        <v>0.03</v>
      </c>
      <c r="N87" s="119">
        <v>0.04</v>
      </c>
      <c r="O87" s="119">
        <v>0</v>
      </c>
      <c r="P87" s="119">
        <v>0</v>
      </c>
      <c r="Q87" s="119">
        <v>6.3</v>
      </c>
      <c r="R87" s="119">
        <v>0</v>
      </c>
      <c r="S87" s="119">
        <v>0</v>
      </c>
      <c r="T87" s="119">
        <v>34.520000000000003</v>
      </c>
      <c r="U87" s="119">
        <v>18.260000000000002</v>
      </c>
      <c r="V87" s="119">
        <v>30.16</v>
      </c>
      <c r="W87" s="119">
        <v>0.9</v>
      </c>
      <c r="X87" s="119">
        <v>0</v>
      </c>
      <c r="Y87" s="119">
        <v>0</v>
      </c>
    </row>
    <row r="88" spans="1:25" s="48" customFormat="1" ht="22.05" customHeight="1" x14ac:dyDescent="0.3">
      <c r="A88" s="20"/>
      <c r="B88" s="268"/>
      <c r="C88" s="291" t="s">
        <v>34</v>
      </c>
      <c r="D88" s="291"/>
      <c r="E88" s="51">
        <v>220</v>
      </c>
      <c r="F88" s="52">
        <v>4.0999999999999996</v>
      </c>
      <c r="G88" s="52">
        <v>7.6</v>
      </c>
      <c r="H88" s="52">
        <v>31.5</v>
      </c>
      <c r="I88" s="52">
        <v>210.2</v>
      </c>
      <c r="J88" s="134" t="s">
        <v>33</v>
      </c>
      <c r="K88" s="145">
        <v>22.09</v>
      </c>
      <c r="L88" s="145"/>
      <c r="M88" s="87">
        <v>0.18</v>
      </c>
      <c r="N88" s="87">
        <v>0.1</v>
      </c>
      <c r="O88" s="87">
        <v>34.1</v>
      </c>
      <c r="P88" s="87">
        <v>1.4</v>
      </c>
      <c r="Q88" s="87">
        <v>14.3</v>
      </c>
      <c r="R88" s="87">
        <v>350.9</v>
      </c>
      <c r="S88" s="87">
        <v>1103.3</v>
      </c>
      <c r="T88" s="87">
        <v>59.4</v>
      </c>
      <c r="U88" s="87">
        <v>42.9</v>
      </c>
      <c r="V88" s="87">
        <v>122.1</v>
      </c>
      <c r="W88" s="87">
        <v>1.1000000000000001</v>
      </c>
      <c r="X88" s="87">
        <v>41.8</v>
      </c>
      <c r="Y88" s="87">
        <v>1.2</v>
      </c>
    </row>
    <row r="89" spans="1:25" s="120" customFormat="1" ht="22.05" customHeight="1" x14ac:dyDescent="0.3">
      <c r="A89" s="14"/>
      <c r="B89" s="268"/>
      <c r="C89" s="248" t="s">
        <v>22</v>
      </c>
      <c r="D89" s="249"/>
      <c r="E89" s="51">
        <v>110</v>
      </c>
      <c r="F89" s="52">
        <v>16.2</v>
      </c>
      <c r="G89" s="52">
        <v>13.5</v>
      </c>
      <c r="H89" s="52">
        <v>9.5</v>
      </c>
      <c r="I89" s="52">
        <v>223.5</v>
      </c>
      <c r="J89" s="134" t="s">
        <v>21</v>
      </c>
      <c r="K89" s="145">
        <v>52.84</v>
      </c>
      <c r="L89" s="145"/>
      <c r="M89" s="119">
        <v>0.04</v>
      </c>
      <c r="N89" s="119">
        <v>0.1</v>
      </c>
      <c r="O89" s="119">
        <v>1.9</v>
      </c>
      <c r="P89" s="119">
        <v>2.1</v>
      </c>
      <c r="Q89" s="119">
        <v>0</v>
      </c>
      <c r="R89" s="119">
        <v>295.8</v>
      </c>
      <c r="S89" s="119">
        <v>310.39999999999998</v>
      </c>
      <c r="T89" s="119">
        <v>29.4</v>
      </c>
      <c r="U89" s="119">
        <v>20.8</v>
      </c>
      <c r="V89" s="119">
        <v>172.4</v>
      </c>
      <c r="W89" s="119">
        <v>2.4</v>
      </c>
      <c r="X89" s="119">
        <v>32.700000000000003</v>
      </c>
      <c r="Y89" s="119">
        <v>1.8</v>
      </c>
    </row>
    <row r="90" spans="1:25" s="120" customFormat="1" ht="22.05" customHeight="1" x14ac:dyDescent="0.3">
      <c r="A90" s="14"/>
      <c r="B90" s="268"/>
      <c r="C90" s="248" t="s">
        <v>194</v>
      </c>
      <c r="D90" s="249"/>
      <c r="E90" s="51">
        <v>30</v>
      </c>
      <c r="F90" s="52">
        <v>0.99</v>
      </c>
      <c r="G90" s="52">
        <v>0.81</v>
      </c>
      <c r="H90" s="52">
        <v>2.4</v>
      </c>
      <c r="I90" s="52">
        <v>22.1</v>
      </c>
      <c r="J90" s="134" t="s">
        <v>195</v>
      </c>
      <c r="K90" s="145"/>
      <c r="L90" s="145"/>
      <c r="M90" s="119">
        <v>6.0000000000000001E-3</v>
      </c>
      <c r="N90" s="119">
        <v>0</v>
      </c>
      <c r="O90" s="119">
        <v>7.98</v>
      </c>
      <c r="P90" s="119">
        <v>0.06</v>
      </c>
      <c r="Q90" s="119">
        <v>0.6</v>
      </c>
      <c r="R90" s="119">
        <v>14.1</v>
      </c>
      <c r="S90" s="119">
        <v>10.5</v>
      </c>
      <c r="T90" s="119">
        <v>3.9</v>
      </c>
      <c r="U90" s="119">
        <v>1.5</v>
      </c>
      <c r="V90" s="119">
        <v>6.9</v>
      </c>
      <c r="W90" s="119">
        <v>0</v>
      </c>
      <c r="X90" s="119">
        <v>0.54</v>
      </c>
      <c r="Y90" s="119">
        <v>0.12</v>
      </c>
    </row>
    <row r="91" spans="1:25" s="48" customFormat="1" ht="22.05" customHeight="1" x14ac:dyDescent="0.3">
      <c r="A91" s="20"/>
      <c r="B91" s="268"/>
      <c r="C91" s="248" t="s">
        <v>114</v>
      </c>
      <c r="D91" s="249"/>
      <c r="E91" s="51">
        <v>47</v>
      </c>
      <c r="F91" s="52">
        <f>F16/100*47</f>
        <v>3.5720000000000001</v>
      </c>
      <c r="G91" s="52">
        <f t="shared" ref="G91:I91" si="36">G16/100*47</f>
        <v>0.42300000000000004</v>
      </c>
      <c r="H91" s="52">
        <f t="shared" si="36"/>
        <v>23.359000000000002</v>
      </c>
      <c r="I91" s="52">
        <f t="shared" si="36"/>
        <v>106.21999999999998</v>
      </c>
      <c r="J91" s="135" t="s">
        <v>63</v>
      </c>
      <c r="K91" s="145">
        <v>2.91</v>
      </c>
      <c r="L91" s="145"/>
      <c r="M91" s="87">
        <f>M16/40*47</f>
        <v>0.19270000000000001</v>
      </c>
      <c r="N91" s="87">
        <f t="shared" ref="N91:Y91" si="37">N16/40*47</f>
        <v>0.11867500000000002</v>
      </c>
      <c r="O91" s="87">
        <f t="shared" si="37"/>
        <v>0</v>
      </c>
      <c r="P91" s="87">
        <f t="shared" si="37"/>
        <v>2.6320000000000006</v>
      </c>
      <c r="Q91" s="87">
        <f t="shared" si="37"/>
        <v>9.4E-2</v>
      </c>
      <c r="R91" s="87">
        <f t="shared" si="37"/>
        <v>222.30999999999997</v>
      </c>
      <c r="S91" s="87">
        <f t="shared" si="37"/>
        <v>58.75</v>
      </c>
      <c r="T91" s="87">
        <f t="shared" si="37"/>
        <v>2.3029999999999999</v>
      </c>
      <c r="U91" s="87">
        <f t="shared" si="37"/>
        <v>19.27</v>
      </c>
      <c r="V91" s="87">
        <f t="shared" si="37"/>
        <v>60.63</v>
      </c>
      <c r="W91" s="87">
        <f t="shared" si="37"/>
        <v>1.6919999999999999</v>
      </c>
      <c r="X91" s="87">
        <f t="shared" si="37"/>
        <v>0</v>
      </c>
      <c r="Y91" s="87">
        <f t="shared" si="37"/>
        <v>13.536</v>
      </c>
    </row>
    <row r="92" spans="1:25" s="48" customFormat="1" ht="22.05" customHeight="1" x14ac:dyDescent="0.3">
      <c r="A92" s="20"/>
      <c r="B92" s="268"/>
      <c r="C92" s="248" t="s">
        <v>118</v>
      </c>
      <c r="D92" s="249"/>
      <c r="E92" s="51">
        <v>28</v>
      </c>
      <c r="F92" s="52">
        <f>F17/100*28</f>
        <v>1.3160000000000001</v>
      </c>
      <c r="G92" s="52">
        <f t="shared" ref="G92:I92" si="38">G17/100*28</f>
        <v>0.19599999999999998</v>
      </c>
      <c r="H92" s="52">
        <f t="shared" si="38"/>
        <v>13.943999999999999</v>
      </c>
      <c r="I92" s="52">
        <f t="shared" si="38"/>
        <v>59.92</v>
      </c>
      <c r="J92" s="135" t="s">
        <v>63</v>
      </c>
      <c r="K92" s="145">
        <v>2.73</v>
      </c>
      <c r="L92" s="145"/>
      <c r="M92" s="87">
        <f>M17/40*28</f>
        <v>0.11900000000000001</v>
      </c>
      <c r="N92" s="87">
        <f t="shared" ref="N92:Y92" si="39">N17/40*28</f>
        <v>9.1000000000000011E-2</v>
      </c>
      <c r="O92" s="87">
        <f t="shared" si="39"/>
        <v>0</v>
      </c>
      <c r="P92" s="87">
        <f t="shared" si="39"/>
        <v>1.0640000000000001</v>
      </c>
      <c r="Q92" s="87">
        <f t="shared" si="39"/>
        <v>0.112</v>
      </c>
      <c r="R92" s="87">
        <f t="shared" si="39"/>
        <v>168.83999999999997</v>
      </c>
      <c r="S92" s="87">
        <f t="shared" si="39"/>
        <v>20.439999999999998</v>
      </c>
      <c r="T92" s="87">
        <f t="shared" si="39"/>
        <v>0.33600000000000002</v>
      </c>
      <c r="U92" s="87">
        <f t="shared" si="39"/>
        <v>11.200000000000001</v>
      </c>
      <c r="V92" s="87">
        <f t="shared" si="39"/>
        <v>35</v>
      </c>
      <c r="W92" s="87">
        <f t="shared" si="39"/>
        <v>0.79099999999999993</v>
      </c>
      <c r="X92" s="87">
        <f t="shared" si="39"/>
        <v>0</v>
      </c>
      <c r="Y92" s="87">
        <f t="shared" si="39"/>
        <v>8.6519999999999992</v>
      </c>
    </row>
    <row r="93" spans="1:25" s="48" customFormat="1" ht="22.05" customHeight="1" x14ac:dyDescent="0.3">
      <c r="A93" s="20"/>
      <c r="B93" s="269"/>
      <c r="C93" s="248" t="s">
        <v>24</v>
      </c>
      <c r="D93" s="249"/>
      <c r="E93" s="51">
        <v>200</v>
      </c>
      <c r="F93" s="52">
        <v>0.2</v>
      </c>
      <c r="G93" s="52">
        <v>0</v>
      </c>
      <c r="H93" s="52">
        <v>6.4</v>
      </c>
      <c r="I93" s="52">
        <v>26.4</v>
      </c>
      <c r="J93" s="134" t="s">
        <v>23</v>
      </c>
      <c r="K93" s="145">
        <v>8.5299999999999994</v>
      </c>
      <c r="L93" s="145"/>
      <c r="M93" s="87">
        <v>0</v>
      </c>
      <c r="N93" s="87">
        <v>0</v>
      </c>
      <c r="O93" s="87">
        <v>0</v>
      </c>
      <c r="P93" s="87">
        <v>0.1</v>
      </c>
      <c r="Q93" s="87">
        <v>0</v>
      </c>
      <c r="R93" s="87">
        <v>1</v>
      </c>
      <c r="S93" s="87">
        <v>25</v>
      </c>
      <c r="T93" s="87">
        <v>4</v>
      </c>
      <c r="U93" s="87">
        <v>4</v>
      </c>
      <c r="V93" s="87">
        <v>7</v>
      </c>
      <c r="W93" s="87">
        <v>1</v>
      </c>
      <c r="X93" s="87">
        <v>0</v>
      </c>
      <c r="Y93" s="87">
        <v>0</v>
      </c>
    </row>
    <row r="94" spans="1:25" s="20" customFormat="1" ht="22.05" customHeight="1" x14ac:dyDescent="0.3">
      <c r="B94" s="43"/>
      <c r="C94" s="263" t="s">
        <v>64</v>
      </c>
      <c r="D94" s="264"/>
      <c r="E94" s="45">
        <f>SUM(E87:E93)</f>
        <v>735</v>
      </c>
      <c r="F94" s="58">
        <f t="shared" ref="F94:I94" si="40">SUM(F87:F93)</f>
        <v>27.487999999999996</v>
      </c>
      <c r="G94" s="58">
        <f t="shared" si="40"/>
        <v>25.868999999999996</v>
      </c>
      <c r="H94" s="58">
        <f t="shared" si="40"/>
        <v>95.063000000000002</v>
      </c>
      <c r="I94" s="58">
        <f t="shared" si="40"/>
        <v>714.14</v>
      </c>
      <c r="J94" s="74"/>
      <c r="K94" s="58" t="e">
        <f>SUM(#REF!)</f>
        <v>#REF!</v>
      </c>
      <c r="L94" s="145"/>
      <c r="M94" s="110">
        <f>SUM(M87:M93)</f>
        <v>0.56769999999999998</v>
      </c>
      <c r="N94" s="110">
        <f t="shared" ref="N94:Y94" si="41">SUM(N87:N93)</f>
        <v>0.44967500000000005</v>
      </c>
      <c r="O94" s="110">
        <f t="shared" si="41"/>
        <v>43.980000000000004</v>
      </c>
      <c r="P94" s="110">
        <f t="shared" si="41"/>
        <v>7.3559999999999999</v>
      </c>
      <c r="Q94" s="110">
        <f t="shared" si="41"/>
        <v>21.406000000000002</v>
      </c>
      <c r="R94" s="110">
        <f t="shared" si="41"/>
        <v>1052.95</v>
      </c>
      <c r="S94" s="110">
        <f t="shared" si="41"/>
        <v>1528.3899999999999</v>
      </c>
      <c r="T94" s="110">
        <f t="shared" si="41"/>
        <v>133.85900000000001</v>
      </c>
      <c r="U94" s="110">
        <f t="shared" si="41"/>
        <v>117.92999999999999</v>
      </c>
      <c r="V94" s="110">
        <f t="shared" si="41"/>
        <v>434.18999999999994</v>
      </c>
      <c r="W94" s="110">
        <f t="shared" si="41"/>
        <v>7.8830000000000009</v>
      </c>
      <c r="X94" s="110">
        <f t="shared" si="41"/>
        <v>75.040000000000006</v>
      </c>
      <c r="Y94" s="110">
        <f t="shared" si="41"/>
        <v>25.308</v>
      </c>
    </row>
    <row r="95" spans="1:25" s="19" customFormat="1" ht="22.05" customHeight="1" x14ac:dyDescent="0.3">
      <c r="A95" s="17"/>
      <c r="B95" s="102"/>
      <c r="C95" s="103"/>
      <c r="D95" s="104"/>
      <c r="E95" s="105"/>
      <c r="F95" s="106"/>
      <c r="G95" s="106"/>
      <c r="H95" s="106"/>
      <c r="I95" s="106"/>
      <c r="J95" s="107"/>
      <c r="K95" s="173"/>
      <c r="L95" s="173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</row>
    <row r="96" spans="1:25" s="1" customFormat="1" ht="22.05" customHeight="1" x14ac:dyDescent="0.3">
      <c r="A96" s="12"/>
      <c r="B96" s="36"/>
      <c r="C96" s="93"/>
      <c r="D96" s="93"/>
      <c r="E96" s="14"/>
      <c r="F96" s="37"/>
      <c r="G96" s="37"/>
      <c r="H96" s="37"/>
      <c r="I96" s="37"/>
      <c r="J96" s="14"/>
      <c r="K96" s="5"/>
      <c r="L96" s="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</row>
    <row r="97" spans="1:25" s="19" customFormat="1" ht="22.05" customHeight="1" x14ac:dyDescent="0.3">
      <c r="A97" s="17"/>
      <c r="B97" s="252" t="s">
        <v>166</v>
      </c>
      <c r="C97" s="252"/>
      <c r="D97" s="252"/>
      <c r="E97" s="252"/>
      <c r="F97" s="252"/>
      <c r="G97" s="252"/>
      <c r="H97" s="252"/>
      <c r="I97" s="252"/>
      <c r="J97" s="252"/>
      <c r="K97" s="252"/>
      <c r="L97" s="18"/>
      <c r="M97" s="322"/>
      <c r="N97" s="322"/>
      <c r="O97" s="322"/>
      <c r="P97" s="322"/>
      <c r="Q97" s="322"/>
      <c r="R97" s="322"/>
      <c r="S97" s="322"/>
      <c r="T97" s="322"/>
      <c r="U97" s="322"/>
      <c r="V97" s="322"/>
      <c r="W97" s="322"/>
      <c r="X97" s="322"/>
      <c r="Y97" s="322"/>
    </row>
    <row r="98" spans="1:25" s="19" customFormat="1" ht="22.05" customHeight="1" x14ac:dyDescent="0.3">
      <c r="A98" s="17"/>
      <c r="B98" s="253" t="s">
        <v>73</v>
      </c>
      <c r="C98" s="252" t="s">
        <v>1</v>
      </c>
      <c r="D98" s="252"/>
      <c r="E98" s="252" t="s">
        <v>2</v>
      </c>
      <c r="F98" s="252" t="s">
        <v>3</v>
      </c>
      <c r="G98" s="252"/>
      <c r="H98" s="252"/>
      <c r="I98" s="303" t="s">
        <v>145</v>
      </c>
      <c r="J98" s="252" t="s">
        <v>75</v>
      </c>
      <c r="K98" s="362" t="s">
        <v>185</v>
      </c>
      <c r="L98" s="166"/>
      <c r="M98" s="307" t="s">
        <v>159</v>
      </c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9"/>
    </row>
    <row r="99" spans="1:25" s="19" customFormat="1" ht="42.6" customHeight="1" x14ac:dyDescent="0.3">
      <c r="A99" s="17"/>
      <c r="B99" s="254"/>
      <c r="C99" s="252"/>
      <c r="D99" s="252"/>
      <c r="E99" s="252"/>
      <c r="F99" s="160" t="s">
        <v>142</v>
      </c>
      <c r="G99" s="160" t="s">
        <v>143</v>
      </c>
      <c r="H99" s="160" t="s">
        <v>144</v>
      </c>
      <c r="I99" s="303"/>
      <c r="J99" s="252"/>
      <c r="K99" s="362"/>
      <c r="L99" s="167"/>
      <c r="M99" s="310" t="s">
        <v>92</v>
      </c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2"/>
    </row>
    <row r="100" spans="1:25" s="19" customFormat="1" ht="22.05" customHeight="1" x14ac:dyDescent="0.3">
      <c r="A100" s="17"/>
      <c r="B100" s="361" t="s">
        <v>92</v>
      </c>
      <c r="C100" s="361"/>
      <c r="D100" s="361"/>
      <c r="E100" s="361"/>
      <c r="F100" s="361"/>
      <c r="G100" s="361"/>
      <c r="H100" s="361"/>
      <c r="I100" s="361"/>
      <c r="J100" s="361"/>
      <c r="K100" s="361"/>
      <c r="L100" s="174"/>
      <c r="M100" s="86" t="s">
        <v>146</v>
      </c>
      <c r="N100" s="86" t="s">
        <v>147</v>
      </c>
      <c r="O100" s="86" t="s">
        <v>148</v>
      </c>
      <c r="P100" s="86" t="s">
        <v>150</v>
      </c>
      <c r="Q100" s="86" t="s">
        <v>149</v>
      </c>
      <c r="R100" s="86" t="s">
        <v>151</v>
      </c>
      <c r="S100" s="86" t="s">
        <v>152</v>
      </c>
      <c r="T100" s="86" t="s">
        <v>153</v>
      </c>
      <c r="U100" s="86" t="s">
        <v>154</v>
      </c>
      <c r="V100" s="86" t="s">
        <v>155</v>
      </c>
      <c r="W100" s="86" t="s">
        <v>156</v>
      </c>
      <c r="X100" s="86" t="s">
        <v>157</v>
      </c>
      <c r="Y100" s="86" t="s">
        <v>158</v>
      </c>
    </row>
    <row r="101" spans="1:25" s="19" customFormat="1" ht="22.05" customHeight="1" x14ac:dyDescent="0.3">
      <c r="A101" s="17"/>
      <c r="B101" s="302" t="s">
        <v>4</v>
      </c>
      <c r="C101" s="280" t="s">
        <v>36</v>
      </c>
      <c r="D101" s="280"/>
      <c r="E101" s="51">
        <v>250</v>
      </c>
      <c r="F101" s="52">
        <v>6.2</v>
      </c>
      <c r="G101" s="52">
        <v>8.6</v>
      </c>
      <c r="H101" s="52">
        <v>30.8</v>
      </c>
      <c r="I101" s="52">
        <v>224.9</v>
      </c>
      <c r="J101" s="53" t="s">
        <v>35</v>
      </c>
      <c r="K101" s="145">
        <v>17.96</v>
      </c>
      <c r="L101" s="171"/>
      <c r="M101" s="87">
        <v>0.1</v>
      </c>
      <c r="N101" s="87">
        <v>0.14000000000000001</v>
      </c>
      <c r="O101" s="87">
        <v>34.1</v>
      </c>
      <c r="P101" s="87">
        <v>0.5</v>
      </c>
      <c r="Q101" s="87">
        <v>1</v>
      </c>
      <c r="R101" s="87">
        <v>547</v>
      </c>
      <c r="S101" s="87">
        <v>225</v>
      </c>
      <c r="T101" s="87">
        <v>149</v>
      </c>
      <c r="U101" s="87">
        <v>32</v>
      </c>
      <c r="V101" s="87">
        <v>146</v>
      </c>
      <c r="W101" s="87">
        <v>1</v>
      </c>
      <c r="X101" s="87">
        <v>62.1</v>
      </c>
      <c r="Y101" s="87">
        <v>5.0999999999999996</v>
      </c>
    </row>
    <row r="102" spans="1:25" s="19" customFormat="1" ht="22.05" customHeight="1" x14ac:dyDescent="0.3">
      <c r="A102" s="17"/>
      <c r="B102" s="302"/>
      <c r="C102" s="280" t="s">
        <v>114</v>
      </c>
      <c r="D102" s="280"/>
      <c r="E102" s="51">
        <v>50</v>
      </c>
      <c r="F102" s="52">
        <f>F16/100*50</f>
        <v>3.8</v>
      </c>
      <c r="G102" s="52">
        <f>G16/100*50</f>
        <v>0.45000000000000007</v>
      </c>
      <c r="H102" s="52">
        <f>H16/100*50</f>
        <v>24.85</v>
      </c>
      <c r="I102" s="52">
        <f>I16/100*50</f>
        <v>112.99999999999999</v>
      </c>
      <c r="J102" s="51" t="s">
        <v>63</v>
      </c>
      <c r="K102" s="145">
        <v>3.64</v>
      </c>
      <c r="L102" s="171"/>
      <c r="M102" s="87">
        <f t="shared" ref="M102:Y102" si="42">M16/40*50</f>
        <v>0.20500000000000002</v>
      </c>
      <c r="N102" s="87">
        <f t="shared" si="42"/>
        <v>0.12625000000000003</v>
      </c>
      <c r="O102" s="87">
        <f t="shared" si="42"/>
        <v>0</v>
      </c>
      <c r="P102" s="87">
        <f t="shared" si="42"/>
        <v>2.8000000000000003</v>
      </c>
      <c r="Q102" s="87">
        <f t="shared" si="42"/>
        <v>0.1</v>
      </c>
      <c r="R102" s="87">
        <f t="shared" si="42"/>
        <v>236.49999999999997</v>
      </c>
      <c r="S102" s="87">
        <f t="shared" si="42"/>
        <v>62.5</v>
      </c>
      <c r="T102" s="87">
        <f t="shared" si="42"/>
        <v>2.4500000000000002</v>
      </c>
      <c r="U102" s="87">
        <f t="shared" si="42"/>
        <v>20.5</v>
      </c>
      <c r="V102" s="87">
        <f t="shared" si="42"/>
        <v>64.5</v>
      </c>
      <c r="W102" s="87">
        <f t="shared" si="42"/>
        <v>1.7999999999999998</v>
      </c>
      <c r="X102" s="87">
        <f t="shared" si="42"/>
        <v>0</v>
      </c>
      <c r="Y102" s="87">
        <f t="shared" si="42"/>
        <v>14.399999999999999</v>
      </c>
    </row>
    <row r="103" spans="1:25" s="48" customFormat="1" ht="22.05" customHeight="1" x14ac:dyDescent="0.3">
      <c r="A103" s="20"/>
      <c r="B103" s="302"/>
      <c r="C103" s="280" t="s">
        <v>118</v>
      </c>
      <c r="D103" s="280"/>
      <c r="E103" s="51">
        <v>40</v>
      </c>
      <c r="F103" s="52">
        <f>F17/100*40</f>
        <v>1.88</v>
      </c>
      <c r="G103" s="52">
        <f>G17/100*40</f>
        <v>0.27999999999999997</v>
      </c>
      <c r="H103" s="52">
        <f>H17/100*40</f>
        <v>19.920000000000002</v>
      </c>
      <c r="I103" s="52">
        <f>I17/100*40</f>
        <v>85.600000000000009</v>
      </c>
      <c r="J103" s="51" t="s">
        <v>63</v>
      </c>
      <c r="K103" s="145">
        <v>2.91</v>
      </c>
      <c r="L103" s="152"/>
      <c r="M103" s="87">
        <f t="shared" ref="M103:Y103" si="43">M17</f>
        <v>0.17</v>
      </c>
      <c r="N103" s="87">
        <f t="shared" si="43"/>
        <v>0.13</v>
      </c>
      <c r="O103" s="87">
        <f t="shared" si="43"/>
        <v>0</v>
      </c>
      <c r="P103" s="87">
        <f t="shared" si="43"/>
        <v>1.52</v>
      </c>
      <c r="Q103" s="87">
        <f t="shared" si="43"/>
        <v>0.16</v>
      </c>
      <c r="R103" s="87">
        <f t="shared" si="43"/>
        <v>241.2</v>
      </c>
      <c r="S103" s="87">
        <f t="shared" si="43"/>
        <v>29.2</v>
      </c>
      <c r="T103" s="87">
        <f t="shared" si="43"/>
        <v>0.48</v>
      </c>
      <c r="U103" s="87">
        <f t="shared" si="43"/>
        <v>16</v>
      </c>
      <c r="V103" s="87">
        <f t="shared" si="43"/>
        <v>50</v>
      </c>
      <c r="W103" s="87">
        <f t="shared" si="43"/>
        <v>1.1299999999999999</v>
      </c>
      <c r="X103" s="87">
        <f t="shared" si="43"/>
        <v>0</v>
      </c>
      <c r="Y103" s="87">
        <f t="shared" si="43"/>
        <v>12.36</v>
      </c>
    </row>
    <row r="104" spans="1:25" s="19" customFormat="1" ht="22.05" customHeight="1" x14ac:dyDescent="0.3">
      <c r="A104" s="17"/>
      <c r="B104" s="302"/>
      <c r="C104" s="280" t="s">
        <v>12</v>
      </c>
      <c r="D104" s="280"/>
      <c r="E104" s="51">
        <v>200</v>
      </c>
      <c r="F104" s="52">
        <v>3.5</v>
      </c>
      <c r="G104" s="52">
        <v>3.4</v>
      </c>
      <c r="H104" s="52">
        <v>22.3</v>
      </c>
      <c r="I104" s="52">
        <v>133.4</v>
      </c>
      <c r="J104" s="53" t="s">
        <v>11</v>
      </c>
      <c r="K104" s="145">
        <v>14.55</v>
      </c>
      <c r="L104" s="171"/>
      <c r="M104" s="87">
        <v>0</v>
      </c>
      <c r="N104" s="87">
        <v>0.13</v>
      </c>
      <c r="O104" s="87">
        <v>9.6</v>
      </c>
      <c r="P104" s="87">
        <v>0.12</v>
      </c>
      <c r="Q104" s="87">
        <v>0</v>
      </c>
      <c r="R104" s="87">
        <v>50</v>
      </c>
      <c r="S104" s="87">
        <v>199</v>
      </c>
      <c r="T104" s="87">
        <v>108</v>
      </c>
      <c r="U104" s="87">
        <v>26</v>
      </c>
      <c r="V104" s="87">
        <v>95</v>
      </c>
      <c r="W104" s="87">
        <v>1</v>
      </c>
      <c r="X104" s="87">
        <v>2.7</v>
      </c>
      <c r="Y104" s="87">
        <v>1</v>
      </c>
    </row>
    <row r="105" spans="1:25" s="50" customFormat="1" ht="22.05" customHeight="1" x14ac:dyDescent="0.3">
      <c r="A105" s="49"/>
      <c r="B105" s="302"/>
      <c r="C105" s="273" t="s">
        <v>44</v>
      </c>
      <c r="D105" s="274"/>
      <c r="E105" s="54">
        <v>200</v>
      </c>
      <c r="F105" s="55">
        <v>1.1000000000000001</v>
      </c>
      <c r="G105" s="55">
        <v>0.22</v>
      </c>
      <c r="H105" s="55">
        <v>25</v>
      </c>
      <c r="I105" s="55">
        <v>102</v>
      </c>
      <c r="J105" s="56" t="s">
        <v>63</v>
      </c>
      <c r="K105" s="146">
        <v>36</v>
      </c>
      <c r="L105" s="146"/>
      <c r="M105" s="129">
        <v>0.02</v>
      </c>
      <c r="N105" s="129">
        <v>0.02</v>
      </c>
      <c r="O105" s="129">
        <v>0</v>
      </c>
      <c r="P105" s="129">
        <v>0.04</v>
      </c>
      <c r="Q105" s="129">
        <v>4</v>
      </c>
      <c r="R105" s="129">
        <v>12</v>
      </c>
      <c r="S105" s="129">
        <v>240</v>
      </c>
      <c r="T105" s="129">
        <v>14</v>
      </c>
      <c r="U105" s="129">
        <v>8</v>
      </c>
      <c r="V105" s="129">
        <v>14</v>
      </c>
      <c r="W105" s="129">
        <v>2.8</v>
      </c>
      <c r="X105" s="129">
        <v>2</v>
      </c>
      <c r="Y105" s="129">
        <v>0</v>
      </c>
    </row>
    <row r="106" spans="1:25" s="19" customFormat="1" ht="22.05" customHeight="1" x14ac:dyDescent="0.3">
      <c r="A106" s="17"/>
      <c r="B106" s="69"/>
      <c r="C106" s="319" t="s">
        <v>68</v>
      </c>
      <c r="D106" s="320"/>
      <c r="E106" s="70">
        <f>SUM(E101:E105)</f>
        <v>740</v>
      </c>
      <c r="F106" s="72">
        <f>SUM(F101:F105)</f>
        <v>16.48</v>
      </c>
      <c r="G106" s="72">
        <f>SUM(G101:G105)</f>
        <v>12.95</v>
      </c>
      <c r="H106" s="72">
        <f>SUM(H101:H105)</f>
        <v>122.87</v>
      </c>
      <c r="I106" s="72">
        <f>SUM(I101:I105)</f>
        <v>658.9</v>
      </c>
      <c r="J106" s="71"/>
      <c r="K106" s="58">
        <f>SUM(K101:K105)</f>
        <v>75.06</v>
      </c>
      <c r="L106" s="171"/>
      <c r="M106" s="109">
        <f t="shared" ref="M106:Y106" si="44">SUM(M101:M105)</f>
        <v>0.49500000000000011</v>
      </c>
      <c r="N106" s="109">
        <f t="shared" si="44"/>
        <v>0.54625000000000012</v>
      </c>
      <c r="O106" s="109">
        <f t="shared" si="44"/>
        <v>43.7</v>
      </c>
      <c r="P106" s="109">
        <f t="shared" si="44"/>
        <v>4.9800000000000004</v>
      </c>
      <c r="Q106" s="109">
        <f t="shared" si="44"/>
        <v>5.26</v>
      </c>
      <c r="R106" s="109">
        <f t="shared" si="44"/>
        <v>1086.7</v>
      </c>
      <c r="S106" s="109">
        <f t="shared" si="44"/>
        <v>755.7</v>
      </c>
      <c r="T106" s="109">
        <f t="shared" si="44"/>
        <v>273.92999999999995</v>
      </c>
      <c r="U106" s="109">
        <f t="shared" si="44"/>
        <v>102.5</v>
      </c>
      <c r="V106" s="109">
        <f t="shared" si="44"/>
        <v>369.5</v>
      </c>
      <c r="W106" s="109">
        <f t="shared" si="44"/>
        <v>7.7299999999999995</v>
      </c>
      <c r="X106" s="109">
        <f t="shared" si="44"/>
        <v>66.8</v>
      </c>
      <c r="Y106" s="109">
        <f t="shared" si="44"/>
        <v>32.86</v>
      </c>
    </row>
    <row r="107" spans="1:25" s="120" customFormat="1" ht="22.05" customHeight="1" x14ac:dyDescent="0.3">
      <c r="A107" s="20"/>
      <c r="B107" s="302" t="s">
        <v>9</v>
      </c>
      <c r="C107" s="291" t="s">
        <v>209</v>
      </c>
      <c r="D107" s="291"/>
      <c r="E107" s="51">
        <v>120</v>
      </c>
      <c r="F107" s="52">
        <v>2.4</v>
      </c>
      <c r="G107" s="52">
        <v>7.5</v>
      </c>
      <c r="H107" s="52">
        <v>7</v>
      </c>
      <c r="I107" s="52">
        <v>206.5</v>
      </c>
      <c r="J107" s="134">
        <v>22</v>
      </c>
      <c r="K107" s="145">
        <v>14.83</v>
      </c>
      <c r="L107" s="145"/>
      <c r="M107" s="119">
        <v>0.11</v>
      </c>
      <c r="N107" s="119">
        <v>0.11</v>
      </c>
      <c r="O107" s="119">
        <v>18</v>
      </c>
      <c r="P107" s="119">
        <v>0</v>
      </c>
      <c r="Q107" s="119">
        <v>4</v>
      </c>
      <c r="R107" s="119">
        <v>0</v>
      </c>
      <c r="S107" s="119">
        <v>0</v>
      </c>
      <c r="T107" s="119">
        <v>18.89</v>
      </c>
      <c r="U107" s="119">
        <v>21.96</v>
      </c>
      <c r="V107" s="119">
        <v>79.7</v>
      </c>
      <c r="W107" s="119">
        <v>0.93</v>
      </c>
      <c r="X107" s="119">
        <v>0</v>
      </c>
      <c r="Y107" s="119">
        <v>0</v>
      </c>
    </row>
    <row r="108" spans="1:25" s="48" customFormat="1" ht="22.05" customHeight="1" x14ac:dyDescent="0.3">
      <c r="A108" s="20"/>
      <c r="B108" s="302"/>
      <c r="C108" s="280" t="s">
        <v>81</v>
      </c>
      <c r="D108" s="280"/>
      <c r="E108" s="51">
        <v>230</v>
      </c>
      <c r="F108" s="52">
        <v>4.5199999999999996</v>
      </c>
      <c r="G108" s="52">
        <v>15.92</v>
      </c>
      <c r="H108" s="52">
        <v>14.96</v>
      </c>
      <c r="I108" s="52">
        <v>233.45</v>
      </c>
      <c r="J108" s="53" t="s">
        <v>82</v>
      </c>
      <c r="K108" s="145">
        <v>71.63</v>
      </c>
      <c r="L108" s="152"/>
      <c r="M108" s="87">
        <v>0.09</v>
      </c>
      <c r="N108" s="87">
        <v>0.15</v>
      </c>
      <c r="O108" s="87">
        <v>151.80000000000001</v>
      </c>
      <c r="P108" s="87">
        <v>5.14</v>
      </c>
      <c r="Q108" s="87">
        <v>36.799999999999997</v>
      </c>
      <c r="R108" s="87">
        <v>450.6</v>
      </c>
      <c r="S108" s="87">
        <v>511.5</v>
      </c>
      <c r="T108" s="87">
        <v>93.5</v>
      </c>
      <c r="U108" s="87">
        <v>37.43</v>
      </c>
      <c r="V108" s="87">
        <v>157.69999999999999</v>
      </c>
      <c r="W108" s="87">
        <v>2.39</v>
      </c>
      <c r="X108" s="87">
        <v>24.4</v>
      </c>
      <c r="Y108" s="87">
        <v>0.7</v>
      </c>
    </row>
    <row r="109" spans="1:25" s="48" customFormat="1" ht="22.05" customHeight="1" x14ac:dyDescent="0.3">
      <c r="A109" s="20"/>
      <c r="B109" s="302"/>
      <c r="C109" s="280" t="s">
        <v>110</v>
      </c>
      <c r="D109" s="280"/>
      <c r="E109" s="51">
        <v>38</v>
      </c>
      <c r="F109" s="52">
        <f>F16/100*38</f>
        <v>2.8879999999999999</v>
      </c>
      <c r="G109" s="52">
        <f t="shared" ref="G109:I109" si="45">G16/100*38</f>
        <v>0.34200000000000003</v>
      </c>
      <c r="H109" s="52">
        <f t="shared" si="45"/>
        <v>18.886000000000003</v>
      </c>
      <c r="I109" s="52">
        <f t="shared" si="45"/>
        <v>85.88</v>
      </c>
      <c r="J109" s="51" t="s">
        <v>63</v>
      </c>
      <c r="K109" s="145">
        <v>3.64</v>
      </c>
      <c r="L109" s="152"/>
      <c r="M109" s="87">
        <f>M16/40*38</f>
        <v>0.15580000000000002</v>
      </c>
      <c r="N109" s="87">
        <f t="shared" ref="N109:Y109" si="46">N16/40*38</f>
        <v>9.5950000000000008E-2</v>
      </c>
      <c r="O109" s="87">
        <f t="shared" si="46"/>
        <v>0</v>
      </c>
      <c r="P109" s="87">
        <f t="shared" si="46"/>
        <v>2.1280000000000001</v>
      </c>
      <c r="Q109" s="87">
        <f t="shared" si="46"/>
        <v>7.5999999999999998E-2</v>
      </c>
      <c r="R109" s="87">
        <f t="shared" si="46"/>
        <v>179.73999999999998</v>
      </c>
      <c r="S109" s="87">
        <f t="shared" si="46"/>
        <v>47.5</v>
      </c>
      <c r="T109" s="87">
        <f t="shared" si="46"/>
        <v>1.8620000000000001</v>
      </c>
      <c r="U109" s="87">
        <f t="shared" si="46"/>
        <v>15.579999999999998</v>
      </c>
      <c r="V109" s="87">
        <f t="shared" si="46"/>
        <v>49.02</v>
      </c>
      <c r="W109" s="87">
        <f t="shared" si="46"/>
        <v>1.3679999999999999</v>
      </c>
      <c r="X109" s="87">
        <f t="shared" si="46"/>
        <v>0</v>
      </c>
      <c r="Y109" s="87">
        <f t="shared" si="46"/>
        <v>10.943999999999999</v>
      </c>
    </row>
    <row r="110" spans="1:25" s="48" customFormat="1" ht="22.05" customHeight="1" x14ac:dyDescent="0.3">
      <c r="A110" s="20"/>
      <c r="B110" s="302"/>
      <c r="C110" s="280" t="s">
        <v>118</v>
      </c>
      <c r="D110" s="280"/>
      <c r="E110" s="51">
        <v>28</v>
      </c>
      <c r="F110" s="52">
        <f>F17/100*28</f>
        <v>1.3160000000000001</v>
      </c>
      <c r="G110" s="52">
        <f t="shared" ref="G110:I110" si="47">G17/100*28</f>
        <v>0.19599999999999998</v>
      </c>
      <c r="H110" s="52">
        <f t="shared" si="47"/>
        <v>13.943999999999999</v>
      </c>
      <c r="I110" s="52">
        <f t="shared" si="47"/>
        <v>59.92</v>
      </c>
      <c r="J110" s="51" t="s">
        <v>63</v>
      </c>
      <c r="K110" s="145">
        <v>2.91</v>
      </c>
      <c r="L110" s="152"/>
      <c r="M110" s="87">
        <f>M17/40*28</f>
        <v>0.11900000000000001</v>
      </c>
      <c r="N110" s="87">
        <f t="shared" ref="N110:Y110" si="48">N17/40*28</f>
        <v>9.1000000000000011E-2</v>
      </c>
      <c r="O110" s="87">
        <f t="shared" si="48"/>
        <v>0</v>
      </c>
      <c r="P110" s="87">
        <f t="shared" si="48"/>
        <v>1.0640000000000001</v>
      </c>
      <c r="Q110" s="87">
        <f t="shared" si="48"/>
        <v>0.112</v>
      </c>
      <c r="R110" s="87">
        <f t="shared" si="48"/>
        <v>168.83999999999997</v>
      </c>
      <c r="S110" s="87">
        <f t="shared" si="48"/>
        <v>20.439999999999998</v>
      </c>
      <c r="T110" s="87">
        <f t="shared" si="48"/>
        <v>0.33600000000000002</v>
      </c>
      <c r="U110" s="87">
        <f t="shared" si="48"/>
        <v>11.200000000000001</v>
      </c>
      <c r="V110" s="87">
        <f t="shared" si="48"/>
        <v>35</v>
      </c>
      <c r="W110" s="87">
        <f t="shared" si="48"/>
        <v>0.79099999999999993</v>
      </c>
      <c r="X110" s="87">
        <f t="shared" si="48"/>
        <v>0</v>
      </c>
      <c r="Y110" s="87">
        <f t="shared" si="48"/>
        <v>8.6519999999999992</v>
      </c>
    </row>
    <row r="111" spans="1:25" s="48" customFormat="1" ht="22.05" customHeight="1" x14ac:dyDescent="0.3">
      <c r="A111" s="20"/>
      <c r="B111" s="302"/>
      <c r="C111" s="248" t="s">
        <v>210</v>
      </c>
      <c r="D111" s="249"/>
      <c r="E111" s="51">
        <v>200</v>
      </c>
      <c r="F111" s="52">
        <v>0.18</v>
      </c>
      <c r="G111" s="52">
        <v>0.04</v>
      </c>
      <c r="H111" s="52">
        <v>21.74</v>
      </c>
      <c r="I111" s="52">
        <v>82.68</v>
      </c>
      <c r="J111" s="134">
        <v>1201</v>
      </c>
      <c r="K111" s="145">
        <v>8.5299999999999994</v>
      </c>
      <c r="L111" s="145"/>
      <c r="M111" s="87">
        <v>0</v>
      </c>
      <c r="N111" s="87">
        <v>0</v>
      </c>
      <c r="O111" s="87">
        <v>0</v>
      </c>
      <c r="P111" s="87">
        <v>0.04</v>
      </c>
      <c r="Q111" s="87">
        <v>3.57</v>
      </c>
      <c r="R111" s="87">
        <v>3.57</v>
      </c>
      <c r="S111" s="87">
        <v>39.299999999999997</v>
      </c>
      <c r="T111" s="87">
        <v>7.14</v>
      </c>
      <c r="U111" s="87">
        <v>3.57</v>
      </c>
      <c r="V111" s="87">
        <v>3.57</v>
      </c>
      <c r="W111" s="87">
        <v>0</v>
      </c>
      <c r="X111" s="87">
        <v>0</v>
      </c>
      <c r="Y111" s="87">
        <v>0</v>
      </c>
    </row>
    <row r="112" spans="1:25" s="48" customFormat="1" ht="22.05" customHeight="1" x14ac:dyDescent="0.3">
      <c r="B112" s="302"/>
      <c r="C112" s="300" t="s">
        <v>66</v>
      </c>
      <c r="D112" s="300"/>
      <c r="E112" s="68">
        <v>50</v>
      </c>
      <c r="F112" s="61">
        <v>0.7</v>
      </c>
      <c r="G112" s="61">
        <v>3.45</v>
      </c>
      <c r="H112" s="61">
        <v>11.45</v>
      </c>
      <c r="I112" s="61">
        <v>80</v>
      </c>
      <c r="J112" s="62" t="s">
        <v>63</v>
      </c>
      <c r="K112" s="147">
        <v>15</v>
      </c>
      <c r="L112" s="213"/>
      <c r="M112" s="140">
        <v>0.06</v>
      </c>
      <c r="N112" s="87">
        <v>0.04</v>
      </c>
      <c r="O112" s="87">
        <v>0</v>
      </c>
      <c r="P112" s="87">
        <v>0</v>
      </c>
      <c r="Q112" s="87">
        <v>0</v>
      </c>
      <c r="R112" s="87">
        <v>0</v>
      </c>
      <c r="S112" s="87">
        <v>0</v>
      </c>
      <c r="T112" s="87">
        <v>19.28</v>
      </c>
      <c r="U112" s="87">
        <v>0</v>
      </c>
      <c r="V112" s="87">
        <v>0</v>
      </c>
      <c r="W112" s="87">
        <v>1.04</v>
      </c>
      <c r="X112" s="87">
        <v>0</v>
      </c>
      <c r="Y112" s="87">
        <v>0</v>
      </c>
    </row>
    <row r="113" spans="1:25" s="48" customFormat="1" ht="22.05" customHeight="1" x14ac:dyDescent="0.3">
      <c r="A113" s="14"/>
      <c r="B113" s="44"/>
      <c r="C113" s="297" t="s">
        <v>64</v>
      </c>
      <c r="D113" s="297"/>
      <c r="E113" s="45">
        <f>SUM(E107:E112)</f>
        <v>666</v>
      </c>
      <c r="F113" s="58">
        <f t="shared" ref="F113:I113" si="49">SUM(F107:F112)</f>
        <v>12.004</v>
      </c>
      <c r="G113" s="58">
        <f t="shared" si="49"/>
        <v>27.448</v>
      </c>
      <c r="H113" s="58">
        <f t="shared" si="49"/>
        <v>87.98</v>
      </c>
      <c r="I113" s="58">
        <f t="shared" si="49"/>
        <v>748.42999999999984</v>
      </c>
      <c r="J113" s="45"/>
      <c r="K113" s="58" t="e">
        <f>SUM(#REF!)</f>
        <v>#REF!</v>
      </c>
      <c r="L113" s="152"/>
      <c r="M113" s="109">
        <f>SUM(M107:M112)</f>
        <v>0.53479999999999994</v>
      </c>
      <c r="N113" s="109">
        <f t="shared" ref="N113:Y113" si="50">SUM(N107:N112)</f>
        <v>0.48694999999999999</v>
      </c>
      <c r="O113" s="109">
        <f t="shared" si="50"/>
        <v>169.8</v>
      </c>
      <c r="P113" s="109">
        <f t="shared" si="50"/>
        <v>8.3719999999999999</v>
      </c>
      <c r="Q113" s="109">
        <f t="shared" si="50"/>
        <v>44.558</v>
      </c>
      <c r="R113" s="109">
        <f t="shared" si="50"/>
        <v>802.75000000000011</v>
      </c>
      <c r="S113" s="109">
        <f t="shared" si="50"/>
        <v>618.74</v>
      </c>
      <c r="T113" s="109">
        <f t="shared" si="50"/>
        <v>141.00799999999998</v>
      </c>
      <c r="U113" s="109">
        <f t="shared" si="50"/>
        <v>89.74</v>
      </c>
      <c r="V113" s="109">
        <f t="shared" si="50"/>
        <v>324.98999999999995</v>
      </c>
      <c r="W113" s="109">
        <f t="shared" si="50"/>
        <v>6.519000000000001</v>
      </c>
      <c r="X113" s="109">
        <f t="shared" si="50"/>
        <v>24.4</v>
      </c>
      <c r="Y113" s="109">
        <f t="shared" si="50"/>
        <v>20.295999999999999</v>
      </c>
    </row>
    <row r="114" spans="1:25" s="19" customFormat="1" ht="22.05" customHeight="1" x14ac:dyDescent="0.3">
      <c r="A114" s="17"/>
      <c r="B114" s="102"/>
      <c r="C114" s="103"/>
      <c r="D114" s="104"/>
      <c r="E114" s="105"/>
      <c r="F114" s="105"/>
      <c r="G114" s="105"/>
      <c r="H114" s="105"/>
      <c r="I114" s="105"/>
      <c r="J114" s="107"/>
      <c r="K114" s="173"/>
      <c r="L114" s="173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</row>
    <row r="115" spans="1:25" s="19" customFormat="1" ht="22.05" customHeight="1" x14ac:dyDescent="0.3">
      <c r="A115" s="17"/>
      <c r="B115" s="102"/>
      <c r="C115" s="103"/>
      <c r="D115" s="104"/>
      <c r="E115" s="105"/>
      <c r="F115" s="105"/>
      <c r="G115" s="105"/>
      <c r="H115" s="105"/>
      <c r="I115" s="105"/>
      <c r="J115" s="107"/>
      <c r="K115" s="18"/>
      <c r="L115" s="18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</row>
    <row r="116" spans="1:25" s="19" customFormat="1" ht="22.05" customHeight="1" x14ac:dyDescent="0.3">
      <c r="A116" s="17"/>
      <c r="B116" s="252" t="s">
        <v>62</v>
      </c>
      <c r="C116" s="252"/>
      <c r="D116" s="252"/>
      <c r="E116" s="252"/>
      <c r="F116" s="252"/>
      <c r="G116" s="252"/>
      <c r="H116" s="252"/>
      <c r="I116" s="252"/>
      <c r="J116" s="252"/>
      <c r="K116" s="252"/>
      <c r="L116" s="18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2"/>
      <c r="X116" s="322"/>
      <c r="Y116" s="322"/>
    </row>
    <row r="117" spans="1:25" s="19" customFormat="1" ht="22.05" customHeight="1" x14ac:dyDescent="0.3">
      <c r="A117" s="17"/>
      <c r="B117" s="253" t="s">
        <v>73</v>
      </c>
      <c r="C117" s="252" t="s">
        <v>1</v>
      </c>
      <c r="D117" s="252"/>
      <c r="E117" s="252" t="s">
        <v>2</v>
      </c>
      <c r="F117" s="252" t="s">
        <v>3</v>
      </c>
      <c r="G117" s="252"/>
      <c r="H117" s="252"/>
      <c r="I117" s="303" t="s">
        <v>145</v>
      </c>
      <c r="J117" s="252" t="s">
        <v>0</v>
      </c>
      <c r="K117" s="362" t="s">
        <v>185</v>
      </c>
      <c r="L117" s="166"/>
      <c r="M117" s="307" t="s">
        <v>159</v>
      </c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9"/>
    </row>
    <row r="118" spans="1:25" s="19" customFormat="1" ht="43.8" customHeight="1" x14ac:dyDescent="0.3">
      <c r="A118" s="17"/>
      <c r="B118" s="254"/>
      <c r="C118" s="252"/>
      <c r="D118" s="252"/>
      <c r="E118" s="252"/>
      <c r="F118" s="160" t="s">
        <v>142</v>
      </c>
      <c r="G118" s="160" t="s">
        <v>143</v>
      </c>
      <c r="H118" s="160" t="s">
        <v>144</v>
      </c>
      <c r="I118" s="303"/>
      <c r="J118" s="252"/>
      <c r="K118" s="362"/>
      <c r="L118" s="167"/>
      <c r="M118" s="310" t="s">
        <v>177</v>
      </c>
      <c r="N118" s="311"/>
      <c r="O118" s="311"/>
      <c r="P118" s="311"/>
      <c r="Q118" s="311"/>
      <c r="R118" s="311"/>
      <c r="S118" s="311"/>
      <c r="T118" s="311"/>
      <c r="U118" s="311"/>
      <c r="V118" s="311"/>
      <c r="W118" s="311"/>
      <c r="X118" s="311"/>
      <c r="Y118" s="312"/>
    </row>
    <row r="119" spans="1:25" s="19" customFormat="1" ht="22.05" customHeight="1" x14ac:dyDescent="0.3">
      <c r="A119" s="17"/>
      <c r="B119" s="361" t="s">
        <v>93</v>
      </c>
      <c r="C119" s="361"/>
      <c r="D119" s="361"/>
      <c r="E119" s="361"/>
      <c r="F119" s="361"/>
      <c r="G119" s="361"/>
      <c r="H119" s="361"/>
      <c r="I119" s="361"/>
      <c r="J119" s="361"/>
      <c r="K119" s="361"/>
      <c r="L119" s="174"/>
      <c r="M119" s="86" t="s">
        <v>146</v>
      </c>
      <c r="N119" s="86" t="s">
        <v>147</v>
      </c>
      <c r="O119" s="86" t="s">
        <v>148</v>
      </c>
      <c r="P119" s="86" t="s">
        <v>150</v>
      </c>
      <c r="Q119" s="86" t="s">
        <v>149</v>
      </c>
      <c r="R119" s="86" t="s">
        <v>151</v>
      </c>
      <c r="S119" s="86" t="s">
        <v>152</v>
      </c>
      <c r="T119" s="86" t="s">
        <v>153</v>
      </c>
      <c r="U119" s="86" t="s">
        <v>154</v>
      </c>
      <c r="V119" s="86" t="s">
        <v>155</v>
      </c>
      <c r="W119" s="86" t="s">
        <v>156</v>
      </c>
      <c r="X119" s="86" t="s">
        <v>157</v>
      </c>
      <c r="Y119" s="86" t="s">
        <v>158</v>
      </c>
    </row>
    <row r="120" spans="1:25" s="19" customFormat="1" ht="22.05" customHeight="1" x14ac:dyDescent="0.3">
      <c r="A120" s="17"/>
      <c r="B120" s="302" t="s">
        <v>4</v>
      </c>
      <c r="C120" s="280" t="s">
        <v>14</v>
      </c>
      <c r="D120" s="363"/>
      <c r="E120" s="51">
        <v>300</v>
      </c>
      <c r="F120" s="52">
        <v>7.12</v>
      </c>
      <c r="G120" s="52">
        <v>8.2200000000000006</v>
      </c>
      <c r="H120" s="52">
        <v>28.08</v>
      </c>
      <c r="I120" s="52">
        <v>214.78</v>
      </c>
      <c r="J120" s="53" t="s">
        <v>13</v>
      </c>
      <c r="K120" s="145">
        <v>23.95</v>
      </c>
      <c r="L120" s="171"/>
      <c r="M120" s="87">
        <v>0.06</v>
      </c>
      <c r="N120" s="87">
        <v>0.23</v>
      </c>
      <c r="O120" s="87">
        <v>34.200000000000003</v>
      </c>
      <c r="P120" s="87">
        <v>0.5</v>
      </c>
      <c r="Q120" s="87">
        <v>0.9</v>
      </c>
      <c r="R120" s="87">
        <v>225.6</v>
      </c>
      <c r="S120" s="87">
        <v>320.10000000000002</v>
      </c>
      <c r="T120" s="87">
        <v>230.4</v>
      </c>
      <c r="U120" s="87">
        <v>27.9</v>
      </c>
      <c r="V120" s="87">
        <v>187.2</v>
      </c>
      <c r="W120" s="87">
        <v>0.6</v>
      </c>
      <c r="X120" s="87">
        <v>30.9</v>
      </c>
      <c r="Y120" s="87">
        <v>6.9</v>
      </c>
    </row>
    <row r="121" spans="1:25" s="19" customFormat="1" ht="22.05" customHeight="1" x14ac:dyDescent="0.3">
      <c r="A121" s="17"/>
      <c r="B121" s="302"/>
      <c r="C121" s="280" t="s">
        <v>110</v>
      </c>
      <c r="D121" s="280"/>
      <c r="E121" s="51">
        <v>45</v>
      </c>
      <c r="F121" s="52">
        <f>F16/100*45</f>
        <v>3.42</v>
      </c>
      <c r="G121" s="52">
        <f>G16/100*45</f>
        <v>0.40500000000000003</v>
      </c>
      <c r="H121" s="52">
        <f>H16/100*45</f>
        <v>22.365000000000002</v>
      </c>
      <c r="I121" s="52">
        <f>I16/100*45</f>
        <v>101.69999999999999</v>
      </c>
      <c r="J121" s="51" t="s">
        <v>63</v>
      </c>
      <c r="K121" s="145">
        <v>3.82</v>
      </c>
      <c r="L121" s="171"/>
      <c r="M121" s="87">
        <f t="shared" ref="M121:Y121" si="51">M16/40*45</f>
        <v>0.18450000000000003</v>
      </c>
      <c r="N121" s="87">
        <f t="shared" si="51"/>
        <v>0.11362500000000002</v>
      </c>
      <c r="O121" s="87">
        <f t="shared" si="51"/>
        <v>0</v>
      </c>
      <c r="P121" s="87">
        <f t="shared" si="51"/>
        <v>2.5200000000000005</v>
      </c>
      <c r="Q121" s="87">
        <f t="shared" si="51"/>
        <v>0.09</v>
      </c>
      <c r="R121" s="87">
        <f t="shared" si="51"/>
        <v>212.84999999999997</v>
      </c>
      <c r="S121" s="87">
        <f t="shared" si="51"/>
        <v>56.25</v>
      </c>
      <c r="T121" s="87">
        <f t="shared" si="51"/>
        <v>2.2050000000000001</v>
      </c>
      <c r="U121" s="87">
        <f t="shared" si="51"/>
        <v>18.45</v>
      </c>
      <c r="V121" s="87">
        <f t="shared" si="51"/>
        <v>58.050000000000004</v>
      </c>
      <c r="W121" s="87">
        <f t="shared" si="51"/>
        <v>1.6199999999999999</v>
      </c>
      <c r="X121" s="87">
        <f t="shared" si="51"/>
        <v>0</v>
      </c>
      <c r="Y121" s="87">
        <f t="shared" si="51"/>
        <v>12.959999999999999</v>
      </c>
    </row>
    <row r="122" spans="1:25" s="48" customFormat="1" ht="22.05" customHeight="1" x14ac:dyDescent="0.3">
      <c r="A122" s="20"/>
      <c r="B122" s="302"/>
      <c r="C122" s="280" t="s">
        <v>118</v>
      </c>
      <c r="D122" s="280"/>
      <c r="E122" s="51">
        <v>30</v>
      </c>
      <c r="F122" s="52">
        <f>F17/100*30</f>
        <v>1.41</v>
      </c>
      <c r="G122" s="52">
        <f>G17/100*30</f>
        <v>0.20999999999999996</v>
      </c>
      <c r="H122" s="52">
        <f>H17/100*30</f>
        <v>14.94</v>
      </c>
      <c r="I122" s="52">
        <f>I17/100*30</f>
        <v>64.2</v>
      </c>
      <c r="J122" s="51" t="s">
        <v>63</v>
      </c>
      <c r="K122" s="145">
        <v>4</v>
      </c>
      <c r="L122" s="145"/>
      <c r="M122" s="87">
        <f t="shared" ref="M122:Y122" si="52">M17/40*30</f>
        <v>0.1275</v>
      </c>
      <c r="N122" s="87">
        <f t="shared" si="52"/>
        <v>9.7500000000000003E-2</v>
      </c>
      <c r="O122" s="87">
        <f t="shared" si="52"/>
        <v>0</v>
      </c>
      <c r="P122" s="87">
        <f t="shared" si="52"/>
        <v>1.1399999999999999</v>
      </c>
      <c r="Q122" s="87">
        <f t="shared" si="52"/>
        <v>0.12</v>
      </c>
      <c r="R122" s="87">
        <f t="shared" si="52"/>
        <v>180.89999999999998</v>
      </c>
      <c r="S122" s="87">
        <f t="shared" si="52"/>
        <v>21.9</v>
      </c>
      <c r="T122" s="87">
        <f t="shared" si="52"/>
        <v>0.36</v>
      </c>
      <c r="U122" s="87">
        <f t="shared" si="52"/>
        <v>12</v>
      </c>
      <c r="V122" s="87">
        <f t="shared" si="52"/>
        <v>37.5</v>
      </c>
      <c r="W122" s="87">
        <f t="shared" si="52"/>
        <v>0.84749999999999992</v>
      </c>
      <c r="X122" s="87">
        <f t="shared" si="52"/>
        <v>0</v>
      </c>
      <c r="Y122" s="87">
        <f t="shared" si="52"/>
        <v>9.27</v>
      </c>
    </row>
    <row r="123" spans="1:25" s="19" customFormat="1" ht="22.05" customHeight="1" x14ac:dyDescent="0.3">
      <c r="A123" s="17"/>
      <c r="B123" s="302"/>
      <c r="C123" s="248" t="s">
        <v>8</v>
      </c>
      <c r="D123" s="249"/>
      <c r="E123" s="51">
        <v>200</v>
      </c>
      <c r="F123" s="52">
        <v>3.8</v>
      </c>
      <c r="G123" s="52">
        <v>3.5</v>
      </c>
      <c r="H123" s="52">
        <v>11.1</v>
      </c>
      <c r="I123" s="52">
        <v>90.8</v>
      </c>
      <c r="J123" s="53" t="s">
        <v>7</v>
      </c>
      <c r="K123" s="169">
        <v>12.47</v>
      </c>
      <c r="L123" s="163"/>
      <c r="M123" s="87">
        <v>0.02</v>
      </c>
      <c r="N123" s="87">
        <v>0.11</v>
      </c>
      <c r="O123" s="87">
        <v>12</v>
      </c>
      <c r="P123" s="87">
        <v>0.2</v>
      </c>
      <c r="Q123" s="87">
        <v>0</v>
      </c>
      <c r="R123" s="87">
        <v>51</v>
      </c>
      <c r="S123" s="87">
        <v>221</v>
      </c>
      <c r="T123" s="87">
        <v>112</v>
      </c>
      <c r="U123" s="87">
        <v>30</v>
      </c>
      <c r="V123" s="87">
        <v>107</v>
      </c>
      <c r="W123" s="87">
        <v>1</v>
      </c>
      <c r="X123" s="87">
        <v>9</v>
      </c>
      <c r="Y123" s="87">
        <v>1.8</v>
      </c>
    </row>
    <row r="124" spans="1:25" s="19" customFormat="1" ht="22.05" customHeight="1" x14ac:dyDescent="0.3">
      <c r="A124" s="17"/>
      <c r="B124" s="302"/>
      <c r="C124" s="280" t="s">
        <v>164</v>
      </c>
      <c r="D124" s="280"/>
      <c r="E124" s="51">
        <v>100</v>
      </c>
      <c r="F124" s="52">
        <v>2.6</v>
      </c>
      <c r="G124" s="52">
        <v>2.5</v>
      </c>
      <c r="H124" s="52">
        <v>16</v>
      </c>
      <c r="I124" s="52">
        <v>95</v>
      </c>
      <c r="J124" s="51" t="s">
        <v>63</v>
      </c>
      <c r="K124" s="145">
        <v>35</v>
      </c>
      <c r="L124" s="171"/>
      <c r="M124" s="87">
        <v>0</v>
      </c>
      <c r="N124" s="87">
        <v>0</v>
      </c>
      <c r="O124" s="87">
        <v>500</v>
      </c>
      <c r="P124" s="87">
        <v>0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</row>
    <row r="125" spans="1:25" s="19" customFormat="1" ht="22.05" customHeight="1" x14ac:dyDescent="0.3">
      <c r="A125" s="17"/>
      <c r="B125" s="69"/>
      <c r="C125" s="319" t="s">
        <v>68</v>
      </c>
      <c r="D125" s="320"/>
      <c r="E125" s="132">
        <f>SUM(E120:E124)</f>
        <v>675</v>
      </c>
      <c r="F125" s="72">
        <f>SUM(F120:F124)</f>
        <v>18.350000000000001</v>
      </c>
      <c r="G125" s="72">
        <f>SUM(G120:G124)</f>
        <v>14.835000000000001</v>
      </c>
      <c r="H125" s="72">
        <f>SUM(H120:H124)</f>
        <v>92.484999999999999</v>
      </c>
      <c r="I125" s="72">
        <f>SUM(I120:I124)</f>
        <v>566.48</v>
      </c>
      <c r="J125" s="73"/>
      <c r="K125" s="58">
        <f>SUM(K120:K124)</f>
        <v>79.240000000000009</v>
      </c>
      <c r="L125" s="171"/>
      <c r="M125" s="109">
        <f t="shared" ref="M125:Y125" si="53">SUM(M120:M124)</f>
        <v>0.39200000000000002</v>
      </c>
      <c r="N125" s="109">
        <f t="shared" si="53"/>
        <v>0.55112499999999998</v>
      </c>
      <c r="O125" s="109">
        <f t="shared" si="53"/>
        <v>546.20000000000005</v>
      </c>
      <c r="P125" s="109">
        <f t="shared" si="53"/>
        <v>4.3600000000000003</v>
      </c>
      <c r="Q125" s="109">
        <f t="shared" si="53"/>
        <v>1.1099999999999999</v>
      </c>
      <c r="R125" s="109">
        <f t="shared" si="53"/>
        <v>670.34999999999991</v>
      </c>
      <c r="S125" s="109">
        <f t="shared" si="53"/>
        <v>619.25</v>
      </c>
      <c r="T125" s="109">
        <f t="shared" si="53"/>
        <v>344.96500000000003</v>
      </c>
      <c r="U125" s="109">
        <f t="shared" si="53"/>
        <v>88.35</v>
      </c>
      <c r="V125" s="109">
        <f t="shared" si="53"/>
        <v>389.75</v>
      </c>
      <c r="W125" s="109">
        <f t="shared" si="53"/>
        <v>4.0674999999999999</v>
      </c>
      <c r="X125" s="109">
        <f t="shared" si="53"/>
        <v>39.9</v>
      </c>
      <c r="Y125" s="109">
        <f t="shared" si="53"/>
        <v>30.93</v>
      </c>
    </row>
    <row r="126" spans="1:25" s="48" customFormat="1" ht="28.2" customHeight="1" x14ac:dyDescent="0.3">
      <c r="A126" s="20"/>
      <c r="B126" s="357" t="s">
        <v>9</v>
      </c>
      <c r="C126" s="248" t="s">
        <v>107</v>
      </c>
      <c r="D126" s="249"/>
      <c r="E126" s="51">
        <v>100</v>
      </c>
      <c r="F126" s="52">
        <v>3.7</v>
      </c>
      <c r="G126" s="52">
        <v>9.1</v>
      </c>
      <c r="H126" s="52">
        <v>4.4000000000000004</v>
      </c>
      <c r="I126" s="52">
        <v>114</v>
      </c>
      <c r="J126" s="53">
        <v>7</v>
      </c>
      <c r="K126" s="145">
        <v>11.06</v>
      </c>
      <c r="L126" s="145"/>
      <c r="M126" s="87">
        <v>0.06</v>
      </c>
      <c r="N126" s="87">
        <v>0.1</v>
      </c>
      <c r="O126" s="87">
        <v>25</v>
      </c>
      <c r="P126" s="87">
        <v>0</v>
      </c>
      <c r="Q126" s="87">
        <v>9.83</v>
      </c>
      <c r="R126" s="87">
        <v>0</v>
      </c>
      <c r="S126" s="87">
        <v>0</v>
      </c>
      <c r="T126" s="87">
        <v>37.270000000000003</v>
      </c>
      <c r="U126" s="87">
        <v>15.27</v>
      </c>
      <c r="V126" s="87">
        <v>65.98</v>
      </c>
      <c r="W126" s="87">
        <v>0.82</v>
      </c>
      <c r="X126" s="87">
        <v>0</v>
      </c>
      <c r="Y126" s="87">
        <v>0</v>
      </c>
    </row>
    <row r="127" spans="1:25" s="48" customFormat="1" ht="22.05" customHeight="1" x14ac:dyDescent="0.3">
      <c r="B127" s="358"/>
      <c r="C127" s="305" t="s">
        <v>10</v>
      </c>
      <c r="D127" s="305"/>
      <c r="E127" s="60">
        <v>200</v>
      </c>
      <c r="F127" s="61">
        <v>11</v>
      </c>
      <c r="G127" s="61">
        <v>9.6999999999999993</v>
      </c>
      <c r="H127" s="61">
        <v>57</v>
      </c>
      <c r="I127" s="61">
        <v>350</v>
      </c>
      <c r="J127" s="62" t="s">
        <v>65</v>
      </c>
      <c r="K127" s="147">
        <v>14.27</v>
      </c>
      <c r="L127" s="149"/>
      <c r="M127" s="87">
        <v>0.28000000000000003</v>
      </c>
      <c r="N127" s="87">
        <v>0.16</v>
      </c>
      <c r="O127" s="87">
        <v>36.700000000000003</v>
      </c>
      <c r="P127" s="87">
        <v>5.31</v>
      </c>
      <c r="Q127" s="87">
        <v>0</v>
      </c>
      <c r="R127" s="87">
        <v>199</v>
      </c>
      <c r="S127" s="87">
        <v>292</v>
      </c>
      <c r="T127" s="87">
        <v>18.7</v>
      </c>
      <c r="U127" s="87">
        <v>160</v>
      </c>
      <c r="V127" s="87">
        <v>240</v>
      </c>
      <c r="W127" s="87">
        <v>5.3</v>
      </c>
      <c r="X127" s="87">
        <v>29.7</v>
      </c>
      <c r="Y127" s="87">
        <v>4.7</v>
      </c>
    </row>
    <row r="128" spans="1:25" s="120" customFormat="1" ht="22.05" customHeight="1" x14ac:dyDescent="0.3">
      <c r="A128" s="20"/>
      <c r="B128" s="358"/>
      <c r="C128" s="248" t="s">
        <v>196</v>
      </c>
      <c r="D128" s="249"/>
      <c r="E128" s="51">
        <v>120</v>
      </c>
      <c r="F128" s="52">
        <v>16.149999999999999</v>
      </c>
      <c r="G128" s="52">
        <v>4.45</v>
      </c>
      <c r="H128" s="52">
        <v>3.22</v>
      </c>
      <c r="I128" s="52">
        <v>118.6</v>
      </c>
      <c r="J128" s="134">
        <v>311</v>
      </c>
      <c r="K128" s="145">
        <v>47.01</v>
      </c>
      <c r="L128" s="145"/>
      <c r="M128" s="119">
        <v>0.1</v>
      </c>
      <c r="N128" s="119">
        <v>0.12</v>
      </c>
      <c r="O128" s="119">
        <v>74.97</v>
      </c>
      <c r="P128" s="119">
        <v>4.6500000000000004</v>
      </c>
      <c r="Q128" s="119">
        <v>2.87</v>
      </c>
      <c r="R128" s="119">
        <v>275.26</v>
      </c>
      <c r="S128" s="119">
        <v>4.3099999999999996</v>
      </c>
      <c r="T128" s="119">
        <v>14.73</v>
      </c>
      <c r="U128" s="119">
        <v>17.13</v>
      </c>
      <c r="V128" s="119">
        <v>126.65</v>
      </c>
      <c r="W128" s="119">
        <v>1.1100000000000001</v>
      </c>
      <c r="X128" s="119">
        <v>39.090000000000003</v>
      </c>
      <c r="Y128" s="119">
        <v>0</v>
      </c>
    </row>
    <row r="129" spans="1:25" s="48" customFormat="1" ht="22.05" customHeight="1" x14ac:dyDescent="0.3">
      <c r="A129" s="20"/>
      <c r="B129" s="358"/>
      <c r="C129" s="280" t="s">
        <v>114</v>
      </c>
      <c r="D129" s="280"/>
      <c r="E129" s="51">
        <v>44</v>
      </c>
      <c r="F129" s="52">
        <f>F16/100*44</f>
        <v>3.3439999999999999</v>
      </c>
      <c r="G129" s="52">
        <f t="shared" ref="G129:I129" si="54">G16/100*44</f>
        <v>0.39600000000000002</v>
      </c>
      <c r="H129" s="52">
        <f t="shared" si="54"/>
        <v>21.868000000000002</v>
      </c>
      <c r="I129" s="52">
        <f t="shared" si="54"/>
        <v>99.44</v>
      </c>
      <c r="J129" s="51" t="s">
        <v>63</v>
      </c>
      <c r="K129" s="145">
        <v>4.09</v>
      </c>
      <c r="L129" s="145"/>
      <c r="M129" s="87">
        <f>M16/40*44</f>
        <v>0.1804</v>
      </c>
      <c r="N129" s="87">
        <f t="shared" ref="N129:Y129" si="55">N16/40*44</f>
        <v>0.11110000000000002</v>
      </c>
      <c r="O129" s="87">
        <f t="shared" si="55"/>
        <v>0</v>
      </c>
      <c r="P129" s="87">
        <f t="shared" si="55"/>
        <v>2.4640000000000004</v>
      </c>
      <c r="Q129" s="87">
        <f t="shared" si="55"/>
        <v>8.7999999999999995E-2</v>
      </c>
      <c r="R129" s="87">
        <f t="shared" si="55"/>
        <v>208.11999999999998</v>
      </c>
      <c r="S129" s="87">
        <f t="shared" si="55"/>
        <v>55</v>
      </c>
      <c r="T129" s="87">
        <f t="shared" si="55"/>
        <v>2.1560000000000001</v>
      </c>
      <c r="U129" s="87">
        <f t="shared" si="55"/>
        <v>18.04</v>
      </c>
      <c r="V129" s="87">
        <f t="shared" si="55"/>
        <v>56.760000000000005</v>
      </c>
      <c r="W129" s="87">
        <f t="shared" si="55"/>
        <v>1.5839999999999999</v>
      </c>
      <c r="X129" s="87">
        <f t="shared" si="55"/>
        <v>0</v>
      </c>
      <c r="Y129" s="87">
        <f t="shared" si="55"/>
        <v>12.671999999999999</v>
      </c>
    </row>
    <row r="130" spans="1:25" s="48" customFormat="1" ht="22.05" customHeight="1" x14ac:dyDescent="0.3">
      <c r="A130" s="20"/>
      <c r="B130" s="358"/>
      <c r="C130" s="280" t="s">
        <v>118</v>
      </c>
      <c r="D130" s="280"/>
      <c r="E130" s="51">
        <v>40</v>
      </c>
      <c r="F130" s="52">
        <f>F17/100*40</f>
        <v>1.88</v>
      </c>
      <c r="G130" s="52">
        <f t="shared" ref="G130:I130" si="56">G17/100*40</f>
        <v>0.27999999999999997</v>
      </c>
      <c r="H130" s="52">
        <f t="shared" si="56"/>
        <v>19.920000000000002</v>
      </c>
      <c r="I130" s="52">
        <f t="shared" si="56"/>
        <v>85.600000000000009</v>
      </c>
      <c r="J130" s="51" t="s">
        <v>63</v>
      </c>
      <c r="K130" s="145">
        <v>4</v>
      </c>
      <c r="L130" s="145"/>
      <c r="M130" s="87">
        <f>M17</f>
        <v>0.17</v>
      </c>
      <c r="N130" s="87">
        <f t="shared" ref="N130:Y130" si="57">N17</f>
        <v>0.13</v>
      </c>
      <c r="O130" s="87">
        <f t="shared" si="57"/>
        <v>0</v>
      </c>
      <c r="P130" s="87">
        <f t="shared" si="57"/>
        <v>1.52</v>
      </c>
      <c r="Q130" s="87">
        <f t="shared" si="57"/>
        <v>0.16</v>
      </c>
      <c r="R130" s="87">
        <f t="shared" si="57"/>
        <v>241.2</v>
      </c>
      <c r="S130" s="87">
        <f t="shared" si="57"/>
        <v>29.2</v>
      </c>
      <c r="T130" s="87">
        <f t="shared" si="57"/>
        <v>0.48</v>
      </c>
      <c r="U130" s="87">
        <f t="shared" si="57"/>
        <v>16</v>
      </c>
      <c r="V130" s="87">
        <f t="shared" si="57"/>
        <v>50</v>
      </c>
      <c r="W130" s="87">
        <f t="shared" si="57"/>
        <v>1.1299999999999999</v>
      </c>
      <c r="X130" s="87">
        <f t="shared" si="57"/>
        <v>0</v>
      </c>
      <c r="Y130" s="87">
        <f t="shared" si="57"/>
        <v>12.36</v>
      </c>
    </row>
    <row r="131" spans="1:25" s="48" customFormat="1" ht="22.05" customHeight="1" x14ac:dyDescent="0.3">
      <c r="A131" s="20"/>
      <c r="B131" s="358"/>
      <c r="C131" s="248" t="s">
        <v>216</v>
      </c>
      <c r="D131" s="249"/>
      <c r="E131" s="51">
        <v>200</v>
      </c>
      <c r="F131" s="52">
        <v>0.2</v>
      </c>
      <c r="G131" s="52">
        <v>0</v>
      </c>
      <c r="H131" s="52">
        <v>6.4</v>
      </c>
      <c r="I131" s="52">
        <v>26.4</v>
      </c>
      <c r="J131" s="134" t="s">
        <v>23</v>
      </c>
      <c r="K131" s="145">
        <v>1.25</v>
      </c>
      <c r="L131" s="145"/>
      <c r="M131" s="87">
        <v>0</v>
      </c>
      <c r="N131" s="87">
        <v>0</v>
      </c>
      <c r="O131" s="87">
        <v>0</v>
      </c>
      <c r="P131" s="87">
        <v>0.1</v>
      </c>
      <c r="Q131" s="87">
        <v>0</v>
      </c>
      <c r="R131" s="87">
        <v>1</v>
      </c>
      <c r="S131" s="87">
        <v>25</v>
      </c>
      <c r="T131" s="87">
        <v>4</v>
      </c>
      <c r="U131" s="87">
        <v>4</v>
      </c>
      <c r="V131" s="87">
        <v>7</v>
      </c>
      <c r="W131" s="87">
        <v>1</v>
      </c>
      <c r="X131" s="87">
        <v>0</v>
      </c>
      <c r="Y131" s="87">
        <v>0</v>
      </c>
    </row>
    <row r="132" spans="1:25" s="50" customFormat="1" ht="22.05" customHeight="1" x14ac:dyDescent="0.3">
      <c r="A132" s="49"/>
      <c r="B132" s="359"/>
      <c r="C132" s="273" t="s">
        <v>44</v>
      </c>
      <c r="D132" s="274"/>
      <c r="E132" s="54">
        <v>200</v>
      </c>
      <c r="F132" s="55">
        <v>1.1000000000000001</v>
      </c>
      <c r="G132" s="55">
        <v>0.22</v>
      </c>
      <c r="H132" s="55">
        <v>25</v>
      </c>
      <c r="I132" s="55">
        <v>102</v>
      </c>
      <c r="J132" s="56" t="s">
        <v>63</v>
      </c>
      <c r="K132" s="146">
        <v>36</v>
      </c>
      <c r="L132" s="146"/>
      <c r="M132" s="129">
        <v>0.02</v>
      </c>
      <c r="N132" s="129">
        <v>0.02</v>
      </c>
      <c r="O132" s="129">
        <v>0</v>
      </c>
      <c r="P132" s="129">
        <v>0.04</v>
      </c>
      <c r="Q132" s="129">
        <v>4</v>
      </c>
      <c r="R132" s="129">
        <v>12</v>
      </c>
      <c r="S132" s="129">
        <v>240</v>
      </c>
      <c r="T132" s="129">
        <v>14</v>
      </c>
      <c r="U132" s="129">
        <v>8</v>
      </c>
      <c r="V132" s="129">
        <v>14</v>
      </c>
      <c r="W132" s="129">
        <v>2.8</v>
      </c>
      <c r="X132" s="129">
        <v>2</v>
      </c>
      <c r="Y132" s="129">
        <v>0</v>
      </c>
    </row>
    <row r="133" spans="1:25" s="48" customFormat="1" ht="22.05" customHeight="1" x14ac:dyDescent="0.3">
      <c r="A133" s="20"/>
      <c r="B133" s="43"/>
      <c r="C133" s="297" t="s">
        <v>64</v>
      </c>
      <c r="D133" s="297"/>
      <c r="E133" s="45">
        <f>SUM(E126:E132)</f>
        <v>904</v>
      </c>
      <c r="F133" s="45">
        <f t="shared" ref="F133:I133" si="58">SUM(F126:F132)</f>
        <v>37.374000000000002</v>
      </c>
      <c r="G133" s="45">
        <f t="shared" si="58"/>
        <v>24.145999999999997</v>
      </c>
      <c r="H133" s="45">
        <f t="shared" si="58"/>
        <v>137.80799999999999</v>
      </c>
      <c r="I133" s="45">
        <f t="shared" si="58"/>
        <v>896.04</v>
      </c>
      <c r="J133" s="45"/>
      <c r="K133" s="58" t="e">
        <f>SUM(#REF!)</f>
        <v>#REF!</v>
      </c>
      <c r="L133" s="145"/>
      <c r="M133" s="109">
        <f>SUM(M126:M132)</f>
        <v>0.81040000000000012</v>
      </c>
      <c r="N133" s="109">
        <f t="shared" ref="N133:Y133" si="59">SUM(N126:N132)</f>
        <v>0.6411</v>
      </c>
      <c r="O133" s="109">
        <f t="shared" si="59"/>
        <v>136.67000000000002</v>
      </c>
      <c r="P133" s="109">
        <f t="shared" si="59"/>
        <v>14.084</v>
      </c>
      <c r="Q133" s="109">
        <f t="shared" si="59"/>
        <v>16.948</v>
      </c>
      <c r="R133" s="109">
        <f t="shared" si="59"/>
        <v>936.57999999999993</v>
      </c>
      <c r="S133" s="109">
        <f t="shared" si="59"/>
        <v>645.51</v>
      </c>
      <c r="T133" s="109">
        <f t="shared" si="59"/>
        <v>91.336000000000013</v>
      </c>
      <c r="U133" s="109">
        <f t="shared" si="59"/>
        <v>238.44</v>
      </c>
      <c r="V133" s="109">
        <f t="shared" si="59"/>
        <v>560.39</v>
      </c>
      <c r="W133" s="109">
        <f t="shared" si="59"/>
        <v>13.744</v>
      </c>
      <c r="X133" s="109">
        <f t="shared" si="59"/>
        <v>70.790000000000006</v>
      </c>
      <c r="Y133" s="109">
        <f t="shared" si="59"/>
        <v>29.731999999999999</v>
      </c>
    </row>
    <row r="134" spans="1:25" s="19" customFormat="1" ht="22.05" customHeight="1" x14ac:dyDescent="0.3">
      <c r="A134" s="17"/>
      <c r="B134" s="102"/>
      <c r="C134" s="103"/>
      <c r="D134" s="104"/>
      <c r="E134" s="106"/>
      <c r="F134" s="106"/>
      <c r="G134" s="106"/>
      <c r="H134" s="106"/>
      <c r="I134" s="106"/>
      <c r="J134" s="108"/>
      <c r="K134" s="173"/>
      <c r="L134" s="173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</row>
    <row r="135" spans="1:25" s="19" customFormat="1" ht="22.05" customHeight="1" x14ac:dyDescent="0.3">
      <c r="A135" s="17"/>
      <c r="B135" s="102"/>
      <c r="C135" s="103"/>
      <c r="D135" s="104"/>
      <c r="E135" s="106"/>
      <c r="F135" s="106"/>
      <c r="G135" s="106"/>
      <c r="H135" s="106"/>
      <c r="I135" s="106"/>
      <c r="J135" s="108"/>
      <c r="K135" s="18"/>
      <c r="L135" s="18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</row>
    <row r="136" spans="1:25" s="19" customFormat="1" ht="22.05" customHeight="1" x14ac:dyDescent="0.3">
      <c r="A136" s="17"/>
      <c r="B136" s="252" t="s">
        <v>62</v>
      </c>
      <c r="C136" s="252"/>
      <c r="D136" s="252"/>
      <c r="E136" s="252"/>
      <c r="F136" s="252"/>
      <c r="G136" s="252"/>
      <c r="H136" s="252"/>
      <c r="I136" s="252"/>
      <c r="J136" s="252"/>
      <c r="K136" s="252"/>
      <c r="L136" s="18"/>
      <c r="M136" s="322"/>
      <c r="N136" s="322"/>
      <c r="O136" s="322"/>
      <c r="P136" s="322"/>
      <c r="Q136" s="322"/>
      <c r="R136" s="322"/>
      <c r="S136" s="322"/>
      <c r="T136" s="322"/>
      <c r="U136" s="322"/>
      <c r="V136" s="322"/>
      <c r="W136" s="322"/>
      <c r="X136" s="322"/>
      <c r="Y136" s="322"/>
    </row>
    <row r="137" spans="1:25" s="19" customFormat="1" ht="22.05" customHeight="1" x14ac:dyDescent="0.3">
      <c r="A137" s="17"/>
      <c r="B137" s="253" t="s">
        <v>73</v>
      </c>
      <c r="C137" s="252" t="s">
        <v>1</v>
      </c>
      <c r="D137" s="252"/>
      <c r="E137" s="252" t="s">
        <v>2</v>
      </c>
      <c r="F137" s="252" t="s">
        <v>3</v>
      </c>
      <c r="G137" s="252"/>
      <c r="H137" s="252"/>
      <c r="I137" s="303" t="s">
        <v>145</v>
      </c>
      <c r="J137" s="252" t="s">
        <v>75</v>
      </c>
      <c r="K137" s="362" t="s">
        <v>185</v>
      </c>
      <c r="L137" s="166"/>
      <c r="M137" s="307" t="s">
        <v>159</v>
      </c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9"/>
    </row>
    <row r="138" spans="1:25" s="19" customFormat="1" ht="43.8" customHeight="1" x14ac:dyDescent="0.3">
      <c r="A138" s="17"/>
      <c r="B138" s="254"/>
      <c r="C138" s="252"/>
      <c r="D138" s="252"/>
      <c r="E138" s="252"/>
      <c r="F138" s="203" t="s">
        <v>142</v>
      </c>
      <c r="G138" s="203" t="s">
        <v>143</v>
      </c>
      <c r="H138" s="203" t="s">
        <v>144</v>
      </c>
      <c r="I138" s="303"/>
      <c r="J138" s="252"/>
      <c r="K138" s="362"/>
      <c r="L138" s="167"/>
      <c r="M138" s="310" t="s">
        <v>178</v>
      </c>
      <c r="N138" s="311"/>
      <c r="O138" s="311"/>
      <c r="P138" s="311"/>
      <c r="Q138" s="311"/>
      <c r="R138" s="311"/>
      <c r="S138" s="311"/>
      <c r="T138" s="311"/>
      <c r="U138" s="311"/>
      <c r="V138" s="311"/>
      <c r="W138" s="311"/>
      <c r="X138" s="311"/>
      <c r="Y138" s="312"/>
    </row>
    <row r="139" spans="1:25" s="19" customFormat="1" ht="22.05" customHeight="1" x14ac:dyDescent="0.3">
      <c r="A139" s="12"/>
      <c r="B139" s="301" t="s">
        <v>79</v>
      </c>
      <c r="C139" s="301"/>
      <c r="D139" s="301"/>
      <c r="E139" s="301"/>
      <c r="F139" s="301"/>
      <c r="G139" s="301"/>
      <c r="H139" s="301"/>
      <c r="I139" s="301"/>
      <c r="J139" s="301"/>
      <c r="K139" s="301"/>
      <c r="L139" s="175"/>
      <c r="M139" s="86" t="s">
        <v>146</v>
      </c>
      <c r="N139" s="86" t="s">
        <v>147</v>
      </c>
      <c r="O139" s="86" t="s">
        <v>148</v>
      </c>
      <c r="P139" s="86" t="s">
        <v>150</v>
      </c>
      <c r="Q139" s="86" t="s">
        <v>149</v>
      </c>
      <c r="R139" s="86" t="s">
        <v>151</v>
      </c>
      <c r="S139" s="86" t="s">
        <v>152</v>
      </c>
      <c r="T139" s="86" t="s">
        <v>153</v>
      </c>
      <c r="U139" s="86" t="s">
        <v>154</v>
      </c>
      <c r="V139" s="86" t="s">
        <v>155</v>
      </c>
      <c r="W139" s="86" t="s">
        <v>156</v>
      </c>
      <c r="X139" s="86" t="s">
        <v>157</v>
      </c>
      <c r="Y139" s="86" t="s">
        <v>158</v>
      </c>
    </row>
    <row r="140" spans="1:25" s="19" customFormat="1" ht="22.05" customHeight="1" x14ac:dyDescent="0.3">
      <c r="A140" s="17"/>
      <c r="B140" s="302" t="s">
        <v>4</v>
      </c>
      <c r="C140" s="280" t="s">
        <v>38</v>
      </c>
      <c r="D140" s="366"/>
      <c r="E140" s="51">
        <v>220</v>
      </c>
      <c r="F140" s="52">
        <v>9.6</v>
      </c>
      <c r="G140" s="52">
        <v>11.7</v>
      </c>
      <c r="H140" s="52">
        <v>44</v>
      </c>
      <c r="I140" s="52">
        <v>318.89999999999998</v>
      </c>
      <c r="J140" s="53" t="s">
        <v>90</v>
      </c>
      <c r="K140" s="145">
        <v>23.81</v>
      </c>
      <c r="L140" s="171"/>
      <c r="M140" s="87">
        <v>0.15</v>
      </c>
      <c r="N140" s="87">
        <v>0.17</v>
      </c>
      <c r="O140" s="87">
        <v>46.99</v>
      </c>
      <c r="P140" s="87">
        <v>0.7</v>
      </c>
      <c r="Q140" s="87">
        <v>0.88</v>
      </c>
      <c r="R140" s="87">
        <v>477.84</v>
      </c>
      <c r="S140" s="87">
        <v>172.48</v>
      </c>
      <c r="T140" s="87">
        <v>130.24</v>
      </c>
      <c r="U140" s="87">
        <v>14.96</v>
      </c>
      <c r="V140" s="87">
        <v>226.16</v>
      </c>
      <c r="W140" s="87">
        <v>3.52</v>
      </c>
      <c r="X140" s="87">
        <v>54.47</v>
      </c>
      <c r="Y140" s="87">
        <v>36.08</v>
      </c>
    </row>
    <row r="141" spans="1:25" s="19" customFormat="1" ht="22.05" customHeight="1" x14ac:dyDescent="0.3">
      <c r="B141" s="302"/>
      <c r="C141" s="346" t="s">
        <v>25</v>
      </c>
      <c r="D141" s="347"/>
      <c r="E141" s="68">
        <v>10</v>
      </c>
      <c r="F141" s="61">
        <v>0.1</v>
      </c>
      <c r="G141" s="61">
        <v>8.3000000000000007</v>
      </c>
      <c r="H141" s="61">
        <v>0.1</v>
      </c>
      <c r="I141" s="61">
        <v>74.900000000000006</v>
      </c>
      <c r="J141" s="137" t="s">
        <v>225</v>
      </c>
      <c r="K141" s="234">
        <v>7.4</v>
      </c>
      <c r="L141" s="235"/>
      <c r="M141" s="227">
        <v>0</v>
      </c>
      <c r="N141" s="227">
        <v>0</v>
      </c>
      <c r="O141" s="227">
        <v>50</v>
      </c>
      <c r="P141" s="227">
        <v>0.01</v>
      </c>
      <c r="Q141" s="227">
        <v>0</v>
      </c>
      <c r="R141" s="227">
        <v>7</v>
      </c>
      <c r="S141" s="227">
        <v>2</v>
      </c>
      <c r="T141" s="227">
        <v>2</v>
      </c>
      <c r="U141" s="227">
        <v>0</v>
      </c>
      <c r="V141" s="227">
        <v>2</v>
      </c>
      <c r="W141" s="227">
        <v>0</v>
      </c>
      <c r="X141" s="227">
        <v>0</v>
      </c>
      <c r="Y141" s="227">
        <v>0</v>
      </c>
    </row>
    <row r="142" spans="1:25" s="19" customFormat="1" ht="24" customHeight="1" x14ac:dyDescent="0.3">
      <c r="A142" s="17"/>
      <c r="B142" s="302"/>
      <c r="C142" s="248" t="s">
        <v>16</v>
      </c>
      <c r="D142" s="249"/>
      <c r="E142" s="51">
        <v>15</v>
      </c>
      <c r="F142" s="52">
        <v>3.51</v>
      </c>
      <c r="G142" s="52">
        <v>4.5</v>
      </c>
      <c r="H142" s="52">
        <v>0</v>
      </c>
      <c r="I142" s="52">
        <v>54.5</v>
      </c>
      <c r="J142" s="53" t="s">
        <v>15</v>
      </c>
      <c r="K142" s="169">
        <v>10.97</v>
      </c>
      <c r="L142" s="163"/>
      <c r="M142" s="87">
        <v>0.01</v>
      </c>
      <c r="N142" s="87">
        <v>0.04</v>
      </c>
      <c r="O142" s="87">
        <v>39</v>
      </c>
      <c r="P142" s="87">
        <v>0.04</v>
      </c>
      <c r="Q142" s="87">
        <v>0</v>
      </c>
      <c r="R142" s="87">
        <v>150</v>
      </c>
      <c r="S142" s="87">
        <v>17</v>
      </c>
      <c r="T142" s="87">
        <v>150</v>
      </c>
      <c r="U142" s="87">
        <v>7</v>
      </c>
      <c r="V142" s="87">
        <v>82</v>
      </c>
      <c r="W142" s="87">
        <v>0</v>
      </c>
      <c r="X142" s="87">
        <v>0</v>
      </c>
      <c r="Y142" s="87">
        <v>0</v>
      </c>
    </row>
    <row r="143" spans="1:25" s="19" customFormat="1" ht="22.05" customHeight="1" x14ac:dyDescent="0.3">
      <c r="A143" s="17"/>
      <c r="B143" s="302"/>
      <c r="C143" s="248" t="s">
        <v>114</v>
      </c>
      <c r="D143" s="249"/>
      <c r="E143" s="51">
        <v>47</v>
      </c>
      <c r="F143" s="52">
        <f>F16/100*47</f>
        <v>3.5720000000000001</v>
      </c>
      <c r="G143" s="52">
        <f t="shared" ref="G143:I143" si="60">G16/100*47</f>
        <v>0.42300000000000004</v>
      </c>
      <c r="H143" s="52">
        <f t="shared" si="60"/>
        <v>23.359000000000002</v>
      </c>
      <c r="I143" s="52">
        <f t="shared" si="60"/>
        <v>106.21999999999998</v>
      </c>
      <c r="J143" s="51" t="s">
        <v>63</v>
      </c>
      <c r="K143" s="169">
        <v>4.3600000000000003</v>
      </c>
      <c r="L143" s="163"/>
      <c r="M143" s="87">
        <f>M16/40*47</f>
        <v>0.19270000000000001</v>
      </c>
      <c r="N143" s="87">
        <f t="shared" ref="N143:Y143" si="61">N16/40*47</f>
        <v>0.11867500000000002</v>
      </c>
      <c r="O143" s="87">
        <f t="shared" si="61"/>
        <v>0</v>
      </c>
      <c r="P143" s="87">
        <f t="shared" si="61"/>
        <v>2.6320000000000006</v>
      </c>
      <c r="Q143" s="87">
        <f t="shared" si="61"/>
        <v>9.4E-2</v>
      </c>
      <c r="R143" s="87">
        <f t="shared" si="61"/>
        <v>222.30999999999997</v>
      </c>
      <c r="S143" s="87">
        <f t="shared" si="61"/>
        <v>58.75</v>
      </c>
      <c r="T143" s="87">
        <f t="shared" si="61"/>
        <v>2.3029999999999999</v>
      </c>
      <c r="U143" s="87">
        <f t="shared" si="61"/>
        <v>19.27</v>
      </c>
      <c r="V143" s="87">
        <f t="shared" si="61"/>
        <v>60.63</v>
      </c>
      <c r="W143" s="87">
        <f t="shared" si="61"/>
        <v>1.6919999999999999</v>
      </c>
      <c r="X143" s="87">
        <f t="shared" si="61"/>
        <v>0</v>
      </c>
      <c r="Y143" s="87">
        <f t="shared" si="61"/>
        <v>13.536</v>
      </c>
    </row>
    <row r="144" spans="1:25" s="19" customFormat="1" ht="30" customHeight="1" x14ac:dyDescent="0.3">
      <c r="A144" s="17"/>
      <c r="B144" s="302"/>
      <c r="C144" s="348" t="s">
        <v>18</v>
      </c>
      <c r="D144" s="349"/>
      <c r="E144" s="51">
        <v>200</v>
      </c>
      <c r="F144" s="52">
        <v>0.3</v>
      </c>
      <c r="G144" s="52">
        <v>0</v>
      </c>
      <c r="H144" s="52">
        <v>6.7</v>
      </c>
      <c r="I144" s="52">
        <v>27.6</v>
      </c>
      <c r="J144" s="134" t="s">
        <v>17</v>
      </c>
      <c r="K144" s="230">
        <v>3.22</v>
      </c>
      <c r="L144" s="231"/>
      <c r="M144" s="232">
        <v>0</v>
      </c>
      <c r="N144" s="232">
        <v>0.01</v>
      </c>
      <c r="O144" s="232">
        <v>0</v>
      </c>
      <c r="P144" s="232">
        <v>7.0000000000000007E-2</v>
      </c>
      <c r="Q144" s="232">
        <v>1</v>
      </c>
      <c r="R144" s="232">
        <v>2</v>
      </c>
      <c r="S144" s="232">
        <v>36</v>
      </c>
      <c r="T144" s="232">
        <v>6</v>
      </c>
      <c r="U144" s="232">
        <v>5</v>
      </c>
      <c r="V144" s="232">
        <v>8</v>
      </c>
      <c r="W144" s="232">
        <v>1</v>
      </c>
      <c r="X144" s="232">
        <v>0</v>
      </c>
      <c r="Y144" s="232">
        <v>0</v>
      </c>
    </row>
    <row r="145" spans="1:25" s="19" customFormat="1" ht="22.05" customHeight="1" x14ac:dyDescent="0.3">
      <c r="A145" s="17"/>
      <c r="B145" s="302"/>
      <c r="C145" s="248" t="s">
        <v>201</v>
      </c>
      <c r="D145" s="249"/>
      <c r="E145" s="51">
        <v>15</v>
      </c>
      <c r="F145" s="52">
        <v>1.05</v>
      </c>
      <c r="G145" s="52">
        <v>5.0999999999999996</v>
      </c>
      <c r="H145" s="52">
        <v>7.95</v>
      </c>
      <c r="I145" s="52">
        <v>82.5</v>
      </c>
      <c r="J145" s="51" t="s">
        <v>63</v>
      </c>
      <c r="K145" s="169">
        <v>18</v>
      </c>
      <c r="L145" s="163"/>
      <c r="M145" s="87">
        <v>0.01</v>
      </c>
      <c r="N145" s="87">
        <v>7.0000000000000007E-2</v>
      </c>
      <c r="O145" s="87">
        <v>3.3</v>
      </c>
      <c r="P145" s="87">
        <v>0.39</v>
      </c>
      <c r="Q145" s="87">
        <v>0</v>
      </c>
      <c r="R145" s="87">
        <v>20.399999999999999</v>
      </c>
      <c r="S145" s="87">
        <v>69.3</v>
      </c>
      <c r="T145" s="87">
        <v>52.8</v>
      </c>
      <c r="U145" s="87">
        <v>10.199999999999999</v>
      </c>
      <c r="V145" s="87">
        <v>46.35</v>
      </c>
      <c r="W145" s="87">
        <v>0.23</v>
      </c>
      <c r="X145" s="87">
        <v>0</v>
      </c>
      <c r="Y145" s="87">
        <v>0</v>
      </c>
    </row>
    <row r="146" spans="1:25" s="19" customFormat="1" ht="22.05" customHeight="1" x14ac:dyDescent="0.3">
      <c r="A146" s="17"/>
      <c r="B146" s="69"/>
      <c r="C146" s="319" t="s">
        <v>68</v>
      </c>
      <c r="D146" s="320"/>
      <c r="E146" s="70">
        <f>SUM(E140:E145)</f>
        <v>507</v>
      </c>
      <c r="F146" s="70">
        <f>SUM(F140:F145)</f>
        <v>18.132000000000001</v>
      </c>
      <c r="G146" s="70">
        <f>SUM(G140:G145)</f>
        <v>30.023000000000003</v>
      </c>
      <c r="H146" s="70">
        <f>SUM(H140:H145)</f>
        <v>82.109000000000009</v>
      </c>
      <c r="I146" s="70">
        <f>SUM(I140:I145)</f>
        <v>664.62</v>
      </c>
      <c r="J146" s="70"/>
      <c r="K146" s="72">
        <f>SUM(K140:K145)</f>
        <v>67.759999999999991</v>
      </c>
      <c r="L146" s="171"/>
      <c r="M146" s="109">
        <f t="shared" ref="M146:Y146" si="62">SUM(M140:M145)</f>
        <v>0.36270000000000002</v>
      </c>
      <c r="N146" s="109">
        <f t="shared" si="62"/>
        <v>0.40867500000000007</v>
      </c>
      <c r="O146" s="109">
        <f t="shared" si="62"/>
        <v>139.29000000000002</v>
      </c>
      <c r="P146" s="109">
        <f t="shared" si="62"/>
        <v>3.8420000000000005</v>
      </c>
      <c r="Q146" s="109">
        <f t="shared" si="62"/>
        <v>1.974</v>
      </c>
      <c r="R146" s="109">
        <f t="shared" si="62"/>
        <v>879.54999999999984</v>
      </c>
      <c r="S146" s="109">
        <f t="shared" si="62"/>
        <v>355.53000000000003</v>
      </c>
      <c r="T146" s="109">
        <f t="shared" si="62"/>
        <v>343.34300000000002</v>
      </c>
      <c r="U146" s="109">
        <f t="shared" si="62"/>
        <v>56.430000000000007</v>
      </c>
      <c r="V146" s="109">
        <f t="shared" si="62"/>
        <v>425.14</v>
      </c>
      <c r="W146" s="109">
        <f t="shared" si="62"/>
        <v>6.4420000000000002</v>
      </c>
      <c r="X146" s="109">
        <f t="shared" si="62"/>
        <v>54.47</v>
      </c>
      <c r="Y146" s="109">
        <f t="shared" si="62"/>
        <v>49.616</v>
      </c>
    </row>
    <row r="147" spans="1:25" s="48" customFormat="1" ht="22.05" customHeight="1" x14ac:dyDescent="0.3">
      <c r="B147" s="306" t="s">
        <v>9</v>
      </c>
      <c r="C147" s="295" t="s">
        <v>211</v>
      </c>
      <c r="D147" s="296"/>
      <c r="E147" s="60">
        <v>100</v>
      </c>
      <c r="F147" s="61">
        <v>2.2999999999999998</v>
      </c>
      <c r="G147" s="61">
        <v>7.2</v>
      </c>
      <c r="H147" s="61">
        <v>11.7</v>
      </c>
      <c r="I147" s="61">
        <v>119.5</v>
      </c>
      <c r="J147" s="137" t="s">
        <v>212</v>
      </c>
      <c r="K147" s="147">
        <v>12.07</v>
      </c>
      <c r="L147" s="149"/>
      <c r="M147" s="87">
        <v>0.03</v>
      </c>
      <c r="N147" s="87">
        <v>0.02</v>
      </c>
      <c r="O147" s="87">
        <v>0</v>
      </c>
      <c r="P147" s="87">
        <v>0.33</v>
      </c>
      <c r="Q147" s="87">
        <v>6.67</v>
      </c>
      <c r="R147" s="87">
        <v>235</v>
      </c>
      <c r="S147" s="87">
        <v>248.33</v>
      </c>
      <c r="T147" s="87">
        <v>36.67</v>
      </c>
      <c r="U147" s="87">
        <v>30</v>
      </c>
      <c r="V147" s="87">
        <v>53.33</v>
      </c>
      <c r="W147" s="87">
        <v>1.67</v>
      </c>
      <c r="X147" s="87">
        <v>19</v>
      </c>
      <c r="Y147" s="87">
        <v>0.67</v>
      </c>
    </row>
    <row r="148" spans="1:25" s="120" customFormat="1" ht="22.05" customHeight="1" x14ac:dyDescent="0.3">
      <c r="A148" s="20"/>
      <c r="B148" s="306"/>
      <c r="C148" s="291" t="s">
        <v>34</v>
      </c>
      <c r="D148" s="291"/>
      <c r="E148" s="51">
        <v>200</v>
      </c>
      <c r="F148" s="52">
        <v>3.53</v>
      </c>
      <c r="G148" s="52">
        <v>6.71</v>
      </c>
      <c r="H148" s="52">
        <v>27.88</v>
      </c>
      <c r="I148" s="52">
        <v>186.24</v>
      </c>
      <c r="J148" s="53" t="s">
        <v>223</v>
      </c>
      <c r="K148" s="145">
        <v>34.68</v>
      </c>
      <c r="L148" s="145"/>
      <c r="M148" s="87">
        <v>0.16</v>
      </c>
      <c r="N148" s="87">
        <v>0.1</v>
      </c>
      <c r="O148" s="87">
        <v>31</v>
      </c>
      <c r="P148" s="87">
        <v>1.3</v>
      </c>
      <c r="Q148" s="87">
        <v>13</v>
      </c>
      <c r="R148" s="87">
        <v>319</v>
      </c>
      <c r="S148" s="87">
        <v>1003</v>
      </c>
      <c r="T148" s="87">
        <v>54</v>
      </c>
      <c r="U148" s="87">
        <v>39</v>
      </c>
      <c r="V148" s="87">
        <v>111</v>
      </c>
      <c r="W148" s="87">
        <v>1</v>
      </c>
      <c r="X148" s="87">
        <v>38</v>
      </c>
      <c r="Y148" s="87">
        <v>1.1000000000000001</v>
      </c>
    </row>
    <row r="149" spans="1:25" s="120" customFormat="1" ht="22.05" customHeight="1" x14ac:dyDescent="0.3">
      <c r="A149" s="20"/>
      <c r="B149" s="306"/>
      <c r="C149" s="291" t="s">
        <v>213</v>
      </c>
      <c r="D149" s="291"/>
      <c r="E149" s="51">
        <v>100</v>
      </c>
      <c r="F149" s="52">
        <v>13.1</v>
      </c>
      <c r="G149" s="52">
        <v>7.5</v>
      </c>
      <c r="H149" s="52">
        <v>3.1</v>
      </c>
      <c r="I149" s="52">
        <v>132.9</v>
      </c>
      <c r="J149" s="134" t="s">
        <v>214</v>
      </c>
      <c r="K149" s="145">
        <v>43.38</v>
      </c>
      <c r="L149" s="145"/>
      <c r="M149" s="119">
        <v>0.08</v>
      </c>
      <c r="N149" s="119">
        <v>0.14000000000000001</v>
      </c>
      <c r="O149" s="119">
        <v>8.6</v>
      </c>
      <c r="P149" s="119">
        <v>0.8</v>
      </c>
      <c r="Q149" s="119">
        <v>1.3</v>
      </c>
      <c r="R149" s="119">
        <v>114</v>
      </c>
      <c r="S149" s="119">
        <v>424</v>
      </c>
      <c r="T149" s="119">
        <v>40</v>
      </c>
      <c r="U149" s="119">
        <v>46</v>
      </c>
      <c r="V149" s="119">
        <v>35</v>
      </c>
      <c r="W149" s="119">
        <v>0</v>
      </c>
      <c r="X149" s="119">
        <v>133.5</v>
      </c>
      <c r="Y149" s="119">
        <v>12</v>
      </c>
    </row>
    <row r="150" spans="1:25" s="48" customFormat="1" ht="22.05" customHeight="1" x14ac:dyDescent="0.3">
      <c r="A150" s="20"/>
      <c r="B150" s="306"/>
      <c r="C150" s="280" t="s">
        <v>114</v>
      </c>
      <c r="D150" s="280"/>
      <c r="E150" s="51">
        <v>50</v>
      </c>
      <c r="F150" s="52">
        <f>F16/100*50</f>
        <v>3.8</v>
      </c>
      <c r="G150" s="52">
        <f t="shared" ref="G150:I150" si="63">G16/100*50</f>
        <v>0.45000000000000007</v>
      </c>
      <c r="H150" s="52">
        <f t="shared" si="63"/>
        <v>24.85</v>
      </c>
      <c r="I150" s="52">
        <f t="shared" si="63"/>
        <v>112.99999999999999</v>
      </c>
      <c r="J150" s="51" t="s">
        <v>63</v>
      </c>
      <c r="K150" s="145">
        <v>3.18</v>
      </c>
      <c r="L150" s="145"/>
      <c r="M150" s="87">
        <f>M16/40*50</f>
        <v>0.20500000000000002</v>
      </c>
      <c r="N150" s="87">
        <f t="shared" ref="N150:Y150" si="64">N16/40*50</f>
        <v>0.12625000000000003</v>
      </c>
      <c r="O150" s="87">
        <f t="shared" si="64"/>
        <v>0</v>
      </c>
      <c r="P150" s="87">
        <f t="shared" si="64"/>
        <v>2.8000000000000003</v>
      </c>
      <c r="Q150" s="87">
        <f t="shared" si="64"/>
        <v>0.1</v>
      </c>
      <c r="R150" s="87">
        <f t="shared" si="64"/>
        <v>236.49999999999997</v>
      </c>
      <c r="S150" s="87">
        <f t="shared" si="64"/>
        <v>62.5</v>
      </c>
      <c r="T150" s="87">
        <f t="shared" si="64"/>
        <v>2.4500000000000002</v>
      </c>
      <c r="U150" s="87">
        <f t="shared" si="64"/>
        <v>20.5</v>
      </c>
      <c r="V150" s="87">
        <f t="shared" si="64"/>
        <v>64.5</v>
      </c>
      <c r="W150" s="87">
        <f t="shared" si="64"/>
        <v>1.7999999999999998</v>
      </c>
      <c r="X150" s="87">
        <f t="shared" si="64"/>
        <v>0</v>
      </c>
      <c r="Y150" s="87">
        <f t="shared" si="64"/>
        <v>14.399999999999999</v>
      </c>
    </row>
    <row r="151" spans="1:25" s="48" customFormat="1" ht="22.05" customHeight="1" x14ac:dyDescent="0.3">
      <c r="A151" s="20"/>
      <c r="B151" s="306"/>
      <c r="C151" s="280" t="s">
        <v>118</v>
      </c>
      <c r="D151" s="280"/>
      <c r="E151" s="51">
        <v>40</v>
      </c>
      <c r="F151" s="52">
        <f>F17/100*40</f>
        <v>1.88</v>
      </c>
      <c r="G151" s="52">
        <f t="shared" ref="G151:I151" si="65">G17/100*40</f>
        <v>0.27999999999999997</v>
      </c>
      <c r="H151" s="52">
        <f t="shared" si="65"/>
        <v>19.920000000000002</v>
      </c>
      <c r="I151" s="52">
        <f t="shared" si="65"/>
        <v>85.600000000000009</v>
      </c>
      <c r="J151" s="51" t="s">
        <v>63</v>
      </c>
      <c r="K151" s="145">
        <v>2.73</v>
      </c>
      <c r="L151" s="145"/>
      <c r="M151" s="87">
        <f>M17</f>
        <v>0.17</v>
      </c>
      <c r="N151" s="87">
        <f t="shared" ref="N151:Y151" si="66">N17</f>
        <v>0.13</v>
      </c>
      <c r="O151" s="87">
        <f t="shared" si="66"/>
        <v>0</v>
      </c>
      <c r="P151" s="87">
        <f t="shared" si="66"/>
        <v>1.52</v>
      </c>
      <c r="Q151" s="87">
        <f t="shared" si="66"/>
        <v>0.16</v>
      </c>
      <c r="R151" s="87">
        <f t="shared" si="66"/>
        <v>241.2</v>
      </c>
      <c r="S151" s="87">
        <f t="shared" si="66"/>
        <v>29.2</v>
      </c>
      <c r="T151" s="87">
        <f t="shared" si="66"/>
        <v>0.48</v>
      </c>
      <c r="U151" s="87">
        <f t="shared" si="66"/>
        <v>16</v>
      </c>
      <c r="V151" s="87">
        <f t="shared" si="66"/>
        <v>50</v>
      </c>
      <c r="W151" s="87">
        <f t="shared" si="66"/>
        <v>1.1299999999999999</v>
      </c>
      <c r="X151" s="87">
        <f t="shared" si="66"/>
        <v>0</v>
      </c>
      <c r="Y151" s="87">
        <f t="shared" si="66"/>
        <v>12.36</v>
      </c>
    </row>
    <row r="152" spans="1:25" s="120" customFormat="1" ht="22.05" customHeight="1" x14ac:dyDescent="0.3">
      <c r="A152" s="20"/>
      <c r="B152" s="306"/>
      <c r="C152" s="280" t="s">
        <v>12</v>
      </c>
      <c r="D152" s="280"/>
      <c r="E152" s="51">
        <v>200</v>
      </c>
      <c r="F152" s="52">
        <v>2.6</v>
      </c>
      <c r="G152" s="52">
        <v>2.6</v>
      </c>
      <c r="H152" s="52">
        <v>16.8</v>
      </c>
      <c r="I152" s="52">
        <v>100.4</v>
      </c>
      <c r="J152" s="53" t="s">
        <v>11</v>
      </c>
      <c r="K152" s="145">
        <v>15.71</v>
      </c>
      <c r="L152" s="145"/>
      <c r="M152" s="119">
        <v>0</v>
      </c>
      <c r="N152" s="119">
        <v>0.13</v>
      </c>
      <c r="O152" s="119">
        <v>9.6</v>
      </c>
      <c r="P152" s="119">
        <v>0.12</v>
      </c>
      <c r="Q152" s="119">
        <v>0</v>
      </c>
      <c r="R152" s="119">
        <v>50</v>
      </c>
      <c r="S152" s="119">
        <v>199</v>
      </c>
      <c r="T152" s="119">
        <v>108</v>
      </c>
      <c r="U152" s="119">
        <v>26</v>
      </c>
      <c r="V152" s="119">
        <v>95</v>
      </c>
      <c r="W152" s="119">
        <v>1</v>
      </c>
      <c r="X152" s="119">
        <v>2.7</v>
      </c>
      <c r="Y152" s="119">
        <v>1</v>
      </c>
    </row>
    <row r="153" spans="1:25" s="48" customFormat="1" ht="22.05" customHeight="1" x14ac:dyDescent="0.3">
      <c r="A153" s="20"/>
      <c r="B153" s="84"/>
      <c r="C153" s="297" t="s">
        <v>108</v>
      </c>
      <c r="D153" s="297"/>
      <c r="E153" s="45">
        <f>SUM(E147:E152)</f>
        <v>690</v>
      </c>
      <c r="F153" s="58">
        <f t="shared" ref="F153:I153" si="67">SUM(F147:F152)</f>
        <v>27.21</v>
      </c>
      <c r="G153" s="58">
        <f t="shared" si="67"/>
        <v>24.740000000000002</v>
      </c>
      <c r="H153" s="58">
        <f t="shared" si="67"/>
        <v>104.25</v>
      </c>
      <c r="I153" s="58">
        <f t="shared" si="67"/>
        <v>737.64</v>
      </c>
      <c r="J153" s="45"/>
      <c r="K153" s="58" t="e">
        <f>SUM(#REF!)</f>
        <v>#REF!</v>
      </c>
      <c r="L153" s="145"/>
      <c r="M153" s="109">
        <f>SUM(M147:M152)</f>
        <v>0.64500000000000002</v>
      </c>
      <c r="N153" s="109">
        <f t="shared" ref="N153:Y153" si="68">SUM(N147:N152)</f>
        <v>0.6462500000000001</v>
      </c>
      <c r="O153" s="109">
        <f t="shared" si="68"/>
        <v>49.2</v>
      </c>
      <c r="P153" s="109">
        <f t="shared" si="68"/>
        <v>6.87</v>
      </c>
      <c r="Q153" s="109">
        <f t="shared" si="68"/>
        <v>21.230000000000004</v>
      </c>
      <c r="R153" s="109">
        <f t="shared" si="68"/>
        <v>1195.7</v>
      </c>
      <c r="S153" s="109">
        <f t="shared" si="68"/>
        <v>1966.03</v>
      </c>
      <c r="T153" s="109">
        <f t="shared" si="68"/>
        <v>241.6</v>
      </c>
      <c r="U153" s="109">
        <f t="shared" si="68"/>
        <v>177.5</v>
      </c>
      <c r="V153" s="109">
        <f t="shared" si="68"/>
        <v>408.83</v>
      </c>
      <c r="W153" s="109">
        <f t="shared" si="68"/>
        <v>6.6</v>
      </c>
      <c r="X153" s="109">
        <f t="shared" si="68"/>
        <v>193.2</v>
      </c>
      <c r="Y153" s="109">
        <f t="shared" si="68"/>
        <v>41.53</v>
      </c>
    </row>
    <row r="154" spans="1:25" s="120" customFormat="1" ht="22.05" customHeight="1" x14ac:dyDescent="0.3">
      <c r="A154" s="20"/>
      <c r="B154" s="39"/>
      <c r="C154" s="40"/>
      <c r="D154" s="40"/>
      <c r="E154" s="214"/>
      <c r="F154" s="214"/>
      <c r="G154" s="97"/>
      <c r="H154" s="97"/>
      <c r="I154" s="97"/>
      <c r="J154" s="214"/>
      <c r="K154" s="214"/>
      <c r="L154" s="67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</row>
    <row r="155" spans="1:25" s="19" customFormat="1" ht="22.05" customHeight="1" x14ac:dyDescent="0.3">
      <c r="A155" s="17"/>
      <c r="B155" s="102"/>
      <c r="C155" s="103"/>
      <c r="D155" s="104"/>
      <c r="E155" s="105"/>
      <c r="F155" s="106"/>
      <c r="G155" s="106"/>
      <c r="H155" s="105"/>
      <c r="I155" s="105"/>
      <c r="J155" s="107"/>
      <c r="K155" s="18"/>
      <c r="L155" s="18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</row>
    <row r="156" spans="1:25" s="19" customFormat="1" ht="22.05" customHeight="1" x14ac:dyDescent="0.3">
      <c r="A156" s="17"/>
      <c r="B156" s="252" t="s">
        <v>62</v>
      </c>
      <c r="C156" s="252"/>
      <c r="D156" s="252"/>
      <c r="E156" s="252"/>
      <c r="F156" s="252"/>
      <c r="G156" s="252"/>
      <c r="H156" s="252"/>
      <c r="I156" s="252"/>
      <c r="J156" s="252"/>
      <c r="K156" s="252"/>
      <c r="L156" s="18"/>
      <c r="M156" s="322"/>
      <c r="N156" s="322"/>
      <c r="O156" s="322"/>
      <c r="P156" s="322"/>
      <c r="Q156" s="322"/>
      <c r="R156" s="322"/>
      <c r="S156" s="322"/>
      <c r="T156" s="322"/>
      <c r="U156" s="322"/>
      <c r="V156" s="322"/>
      <c r="W156" s="322"/>
      <c r="X156" s="322"/>
      <c r="Y156" s="322"/>
    </row>
    <row r="157" spans="1:25" s="19" customFormat="1" ht="22.05" customHeight="1" x14ac:dyDescent="0.3">
      <c r="A157" s="17"/>
      <c r="B157" s="253" t="s">
        <v>73</v>
      </c>
      <c r="C157" s="252" t="s">
        <v>1</v>
      </c>
      <c r="D157" s="252"/>
      <c r="E157" s="252" t="s">
        <v>2</v>
      </c>
      <c r="F157" s="252" t="s">
        <v>3</v>
      </c>
      <c r="G157" s="252"/>
      <c r="H157" s="252"/>
      <c r="I157" s="303" t="s">
        <v>145</v>
      </c>
      <c r="J157" s="252" t="s">
        <v>0</v>
      </c>
      <c r="K157" s="362" t="s">
        <v>185</v>
      </c>
      <c r="L157" s="166"/>
      <c r="M157" s="307" t="s">
        <v>159</v>
      </c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9"/>
    </row>
    <row r="158" spans="1:25" s="19" customFormat="1" ht="43.8" customHeight="1" x14ac:dyDescent="0.3">
      <c r="A158" s="17"/>
      <c r="B158" s="254"/>
      <c r="C158" s="252"/>
      <c r="D158" s="252"/>
      <c r="E158" s="252"/>
      <c r="F158" s="160" t="s">
        <v>142</v>
      </c>
      <c r="G158" s="160" t="s">
        <v>143</v>
      </c>
      <c r="H158" s="160" t="s">
        <v>144</v>
      </c>
      <c r="I158" s="303"/>
      <c r="J158" s="252"/>
      <c r="K158" s="362"/>
      <c r="L158" s="167"/>
      <c r="M158" s="310" t="s">
        <v>179</v>
      </c>
      <c r="N158" s="311"/>
      <c r="O158" s="311"/>
      <c r="P158" s="311"/>
      <c r="Q158" s="311"/>
      <c r="R158" s="311"/>
      <c r="S158" s="311"/>
      <c r="T158" s="311"/>
      <c r="U158" s="311"/>
      <c r="V158" s="311"/>
      <c r="W158" s="311"/>
      <c r="X158" s="311"/>
      <c r="Y158" s="312"/>
    </row>
    <row r="159" spans="1:25" s="19" customFormat="1" ht="22.05" customHeight="1" x14ac:dyDescent="0.3">
      <c r="A159" s="17"/>
      <c r="B159" s="361" t="s">
        <v>83</v>
      </c>
      <c r="C159" s="361"/>
      <c r="D159" s="361"/>
      <c r="E159" s="361"/>
      <c r="F159" s="361"/>
      <c r="G159" s="361"/>
      <c r="H159" s="361"/>
      <c r="I159" s="361"/>
      <c r="J159" s="361"/>
      <c r="K159" s="361"/>
      <c r="L159" s="174"/>
      <c r="M159" s="86" t="s">
        <v>146</v>
      </c>
      <c r="N159" s="86" t="s">
        <v>147</v>
      </c>
      <c r="O159" s="86" t="s">
        <v>148</v>
      </c>
      <c r="P159" s="86" t="s">
        <v>150</v>
      </c>
      <c r="Q159" s="86" t="s">
        <v>149</v>
      </c>
      <c r="R159" s="86" t="s">
        <v>151</v>
      </c>
      <c r="S159" s="86" t="s">
        <v>152</v>
      </c>
      <c r="T159" s="86" t="s">
        <v>153</v>
      </c>
      <c r="U159" s="86" t="s">
        <v>154</v>
      </c>
      <c r="V159" s="86" t="s">
        <v>155</v>
      </c>
      <c r="W159" s="86" t="s">
        <v>156</v>
      </c>
      <c r="X159" s="86" t="s">
        <v>157</v>
      </c>
      <c r="Y159" s="86" t="s">
        <v>158</v>
      </c>
    </row>
    <row r="160" spans="1:25" s="19" customFormat="1" ht="22.05" customHeight="1" x14ac:dyDescent="0.3">
      <c r="A160" s="17"/>
      <c r="B160" s="302" t="s">
        <v>4</v>
      </c>
      <c r="C160" s="280" t="s">
        <v>141</v>
      </c>
      <c r="D160" s="363"/>
      <c r="E160" s="51">
        <v>264</v>
      </c>
      <c r="F160" s="52">
        <v>18.100000000000001</v>
      </c>
      <c r="G160" s="52">
        <v>20.3</v>
      </c>
      <c r="H160" s="52">
        <v>47.8</v>
      </c>
      <c r="I160" s="52">
        <v>451</v>
      </c>
      <c r="J160" s="53">
        <v>138</v>
      </c>
      <c r="K160" s="145">
        <v>38.5</v>
      </c>
      <c r="L160" s="171"/>
      <c r="M160" s="87">
        <v>0.1</v>
      </c>
      <c r="N160" s="87">
        <v>0.23</v>
      </c>
      <c r="O160" s="87">
        <v>62.75</v>
      </c>
      <c r="P160" s="87">
        <v>0</v>
      </c>
      <c r="Q160" s="87">
        <v>3.4</v>
      </c>
      <c r="R160" s="87">
        <v>0</v>
      </c>
      <c r="S160" s="87">
        <v>0</v>
      </c>
      <c r="T160" s="87">
        <v>154.71</v>
      </c>
      <c r="U160" s="87">
        <v>51.74</v>
      </c>
      <c r="V160" s="87">
        <v>224.48</v>
      </c>
      <c r="W160" s="87">
        <v>1.76</v>
      </c>
      <c r="X160" s="87">
        <v>0</v>
      </c>
      <c r="Y160" s="87">
        <v>0</v>
      </c>
    </row>
    <row r="161" spans="1:26" s="19" customFormat="1" ht="22.05" customHeight="1" x14ac:dyDescent="0.3">
      <c r="A161" s="17"/>
      <c r="B161" s="302"/>
      <c r="C161" s="280" t="s">
        <v>110</v>
      </c>
      <c r="D161" s="280"/>
      <c r="E161" s="51">
        <v>40</v>
      </c>
      <c r="F161" s="52">
        <f>F16/100*40</f>
        <v>3.04</v>
      </c>
      <c r="G161" s="52">
        <f t="shared" ref="G161:I161" si="69">G16/100*40</f>
        <v>0.36000000000000004</v>
      </c>
      <c r="H161" s="52">
        <f t="shared" si="69"/>
        <v>19.880000000000003</v>
      </c>
      <c r="I161" s="52">
        <f t="shared" si="69"/>
        <v>90.399999999999991</v>
      </c>
      <c r="J161" s="53" t="s">
        <v>63</v>
      </c>
      <c r="K161" s="145">
        <v>3.55</v>
      </c>
      <c r="L161" s="171"/>
      <c r="M161" s="87">
        <f>M16</f>
        <v>0.16400000000000001</v>
      </c>
      <c r="N161" s="87">
        <f t="shared" ref="N161:Y161" si="70">N16</f>
        <v>0.10100000000000001</v>
      </c>
      <c r="O161" s="87">
        <f t="shared" si="70"/>
        <v>0</v>
      </c>
      <c r="P161" s="87">
        <f t="shared" si="70"/>
        <v>2.2400000000000002</v>
      </c>
      <c r="Q161" s="87">
        <f t="shared" si="70"/>
        <v>0.08</v>
      </c>
      <c r="R161" s="87">
        <f t="shared" si="70"/>
        <v>189.2</v>
      </c>
      <c r="S161" s="87">
        <f t="shared" si="70"/>
        <v>50</v>
      </c>
      <c r="T161" s="87">
        <f t="shared" si="70"/>
        <v>1.96</v>
      </c>
      <c r="U161" s="87">
        <f t="shared" si="70"/>
        <v>16.399999999999999</v>
      </c>
      <c r="V161" s="87">
        <f t="shared" si="70"/>
        <v>51.6</v>
      </c>
      <c r="W161" s="87">
        <f t="shared" si="70"/>
        <v>1.44</v>
      </c>
      <c r="X161" s="87">
        <f t="shared" si="70"/>
        <v>0</v>
      </c>
      <c r="Y161" s="87">
        <f t="shared" si="70"/>
        <v>11.52</v>
      </c>
    </row>
    <row r="162" spans="1:26" s="48" customFormat="1" ht="22.05" customHeight="1" x14ac:dyDescent="0.3">
      <c r="A162" s="20"/>
      <c r="B162" s="302"/>
      <c r="C162" s="280" t="s">
        <v>118</v>
      </c>
      <c r="D162" s="280"/>
      <c r="E162" s="51">
        <v>30</v>
      </c>
      <c r="F162" s="52">
        <f>F17/100*30</f>
        <v>1.41</v>
      </c>
      <c r="G162" s="52">
        <f t="shared" ref="G162:I162" si="71">G17/100*30</f>
        <v>0.20999999999999996</v>
      </c>
      <c r="H162" s="52">
        <f t="shared" si="71"/>
        <v>14.94</v>
      </c>
      <c r="I162" s="52">
        <f t="shared" si="71"/>
        <v>64.2</v>
      </c>
      <c r="J162" s="51" t="s">
        <v>63</v>
      </c>
      <c r="K162" s="145">
        <v>2.5499999999999998</v>
      </c>
      <c r="L162" s="145"/>
      <c r="M162" s="87">
        <f>M17/40*30</f>
        <v>0.1275</v>
      </c>
      <c r="N162" s="87">
        <f t="shared" ref="N162:Y162" si="72">N17/40*30</f>
        <v>9.7500000000000003E-2</v>
      </c>
      <c r="O162" s="87">
        <f t="shared" si="72"/>
        <v>0</v>
      </c>
      <c r="P162" s="87">
        <f t="shared" si="72"/>
        <v>1.1399999999999999</v>
      </c>
      <c r="Q162" s="87">
        <f t="shared" si="72"/>
        <v>0.12</v>
      </c>
      <c r="R162" s="87">
        <f t="shared" si="72"/>
        <v>180.89999999999998</v>
      </c>
      <c r="S162" s="87">
        <f t="shared" si="72"/>
        <v>21.9</v>
      </c>
      <c r="T162" s="87">
        <f t="shared" si="72"/>
        <v>0.36</v>
      </c>
      <c r="U162" s="87">
        <f t="shared" si="72"/>
        <v>12</v>
      </c>
      <c r="V162" s="87">
        <f t="shared" si="72"/>
        <v>37.5</v>
      </c>
      <c r="W162" s="87">
        <f t="shared" si="72"/>
        <v>0.84749999999999992</v>
      </c>
      <c r="X162" s="87">
        <f t="shared" si="72"/>
        <v>0</v>
      </c>
      <c r="Y162" s="87">
        <f t="shared" si="72"/>
        <v>9.27</v>
      </c>
    </row>
    <row r="163" spans="1:26" s="19" customFormat="1" ht="22.05" customHeight="1" x14ac:dyDescent="0.3">
      <c r="A163" s="17"/>
      <c r="B163" s="302"/>
      <c r="C163" s="280" t="s">
        <v>24</v>
      </c>
      <c r="D163" s="280"/>
      <c r="E163" s="51">
        <v>200</v>
      </c>
      <c r="F163" s="52">
        <v>2</v>
      </c>
      <c r="G163" s="52">
        <v>0</v>
      </c>
      <c r="H163" s="52">
        <v>6.4</v>
      </c>
      <c r="I163" s="52">
        <v>26.4</v>
      </c>
      <c r="J163" s="53" t="s">
        <v>23</v>
      </c>
      <c r="K163" s="145">
        <v>1.22</v>
      </c>
      <c r="L163" s="171"/>
      <c r="M163" s="87">
        <v>0</v>
      </c>
      <c r="N163" s="87">
        <v>0</v>
      </c>
      <c r="O163" s="87">
        <v>0</v>
      </c>
      <c r="P163" s="87">
        <v>0.1</v>
      </c>
      <c r="Q163" s="87">
        <v>0</v>
      </c>
      <c r="R163" s="87">
        <v>1</v>
      </c>
      <c r="S163" s="87">
        <v>25</v>
      </c>
      <c r="T163" s="87">
        <v>4</v>
      </c>
      <c r="U163" s="87">
        <v>4</v>
      </c>
      <c r="V163" s="87">
        <v>7</v>
      </c>
      <c r="W163" s="87">
        <v>1</v>
      </c>
      <c r="X163" s="87">
        <v>0</v>
      </c>
      <c r="Y163" s="87">
        <v>0</v>
      </c>
    </row>
    <row r="164" spans="1:26" s="50" customFormat="1" ht="22.05" customHeight="1" x14ac:dyDescent="0.3">
      <c r="A164" s="49"/>
      <c r="B164" s="302"/>
      <c r="C164" s="273" t="s">
        <v>44</v>
      </c>
      <c r="D164" s="274"/>
      <c r="E164" s="54">
        <v>200</v>
      </c>
      <c r="F164" s="55">
        <v>1.1000000000000001</v>
      </c>
      <c r="G164" s="55">
        <v>0.22</v>
      </c>
      <c r="H164" s="55">
        <v>25</v>
      </c>
      <c r="I164" s="55">
        <v>102</v>
      </c>
      <c r="J164" s="56" t="s">
        <v>63</v>
      </c>
      <c r="K164" s="146">
        <v>36</v>
      </c>
      <c r="L164" s="146"/>
      <c r="M164" s="129">
        <v>0.02</v>
      </c>
      <c r="N164" s="129">
        <v>0.02</v>
      </c>
      <c r="O164" s="129">
        <v>0</v>
      </c>
      <c r="P164" s="129">
        <v>0.04</v>
      </c>
      <c r="Q164" s="129">
        <v>4</v>
      </c>
      <c r="R164" s="129">
        <v>12</v>
      </c>
      <c r="S164" s="129">
        <v>240</v>
      </c>
      <c r="T164" s="129">
        <v>14</v>
      </c>
      <c r="U164" s="129">
        <v>8</v>
      </c>
      <c r="V164" s="129">
        <v>14</v>
      </c>
      <c r="W164" s="129">
        <v>2.8</v>
      </c>
      <c r="X164" s="129">
        <v>2</v>
      </c>
      <c r="Y164" s="129">
        <v>0</v>
      </c>
    </row>
    <row r="165" spans="1:26" s="19" customFormat="1" ht="22.05" customHeight="1" x14ac:dyDescent="0.3">
      <c r="A165" s="17"/>
      <c r="B165" s="45"/>
      <c r="C165" s="297" t="s">
        <v>71</v>
      </c>
      <c r="D165" s="360"/>
      <c r="E165" s="45">
        <f>SUM(E160:E164)</f>
        <v>734</v>
      </c>
      <c r="F165" s="58">
        <f>SUM(F160:F164)</f>
        <v>25.650000000000002</v>
      </c>
      <c r="G165" s="58">
        <f>SUM(G160:G164)</f>
        <v>21.09</v>
      </c>
      <c r="H165" s="58">
        <f>SUM(H160:H164)</f>
        <v>114.02000000000001</v>
      </c>
      <c r="I165" s="58">
        <f>SUM(I160:I164)</f>
        <v>734</v>
      </c>
      <c r="J165" s="45"/>
      <c r="K165" s="58">
        <f>SUM(K160:K164)</f>
        <v>81.819999999999993</v>
      </c>
      <c r="L165" s="171"/>
      <c r="M165" s="109">
        <f t="shared" ref="M165:Y165" si="73">SUM(M160:M164)</f>
        <v>0.41150000000000003</v>
      </c>
      <c r="N165" s="109">
        <f t="shared" si="73"/>
        <v>0.44850000000000001</v>
      </c>
      <c r="O165" s="109">
        <f t="shared" si="73"/>
        <v>62.75</v>
      </c>
      <c r="P165" s="109">
        <f t="shared" si="73"/>
        <v>3.52</v>
      </c>
      <c r="Q165" s="109">
        <f t="shared" si="73"/>
        <v>7.6</v>
      </c>
      <c r="R165" s="109">
        <f t="shared" si="73"/>
        <v>383.09999999999997</v>
      </c>
      <c r="S165" s="109">
        <f t="shared" si="73"/>
        <v>336.9</v>
      </c>
      <c r="T165" s="109">
        <f t="shared" si="73"/>
        <v>175.03000000000003</v>
      </c>
      <c r="U165" s="109">
        <f t="shared" si="73"/>
        <v>92.14</v>
      </c>
      <c r="V165" s="109">
        <f t="shared" si="73"/>
        <v>334.58</v>
      </c>
      <c r="W165" s="109">
        <f t="shared" si="73"/>
        <v>7.8475000000000001</v>
      </c>
      <c r="X165" s="109">
        <f t="shared" si="73"/>
        <v>2</v>
      </c>
      <c r="Y165" s="109">
        <f t="shared" si="73"/>
        <v>20.79</v>
      </c>
    </row>
    <row r="166" spans="1:26" s="120" customFormat="1" ht="22.05" customHeight="1" x14ac:dyDescent="0.3">
      <c r="A166" s="20"/>
      <c r="B166" s="302" t="s">
        <v>9</v>
      </c>
      <c r="C166" s="248" t="s">
        <v>197</v>
      </c>
      <c r="D166" s="249"/>
      <c r="E166" s="51">
        <v>70</v>
      </c>
      <c r="F166" s="52">
        <v>0.57999999999999996</v>
      </c>
      <c r="G166" s="52">
        <v>0</v>
      </c>
      <c r="H166" s="52">
        <v>2.1</v>
      </c>
      <c r="I166" s="52">
        <v>10.62</v>
      </c>
      <c r="J166" s="134" t="s">
        <v>198</v>
      </c>
      <c r="K166" s="145">
        <v>28.29</v>
      </c>
      <c r="L166" s="145"/>
      <c r="M166" s="119">
        <v>0.02</v>
      </c>
      <c r="N166" s="119">
        <v>0.02</v>
      </c>
      <c r="O166" s="119">
        <v>7</v>
      </c>
      <c r="P166" s="119">
        <v>0.14000000000000001</v>
      </c>
      <c r="Q166" s="119">
        <v>7</v>
      </c>
      <c r="R166" s="119">
        <v>5.8</v>
      </c>
      <c r="S166" s="119">
        <v>99.2</v>
      </c>
      <c r="T166" s="119">
        <v>16.3</v>
      </c>
      <c r="U166" s="119">
        <v>9.3000000000000007</v>
      </c>
      <c r="V166" s="119">
        <v>29.2</v>
      </c>
      <c r="W166" s="119">
        <v>1.2</v>
      </c>
      <c r="X166" s="119">
        <v>2.1</v>
      </c>
      <c r="Y166" s="119">
        <v>0</v>
      </c>
    </row>
    <row r="167" spans="1:26" s="48" customFormat="1" ht="22.05" customHeight="1" x14ac:dyDescent="0.3">
      <c r="A167" s="20"/>
      <c r="B167" s="302"/>
      <c r="C167" s="280" t="s">
        <v>20</v>
      </c>
      <c r="D167" s="280"/>
      <c r="E167" s="51">
        <v>220</v>
      </c>
      <c r="F167" s="52">
        <v>7.3</v>
      </c>
      <c r="G167" s="52">
        <v>7.8</v>
      </c>
      <c r="H167" s="52">
        <v>51.3</v>
      </c>
      <c r="I167" s="52">
        <v>305.10000000000002</v>
      </c>
      <c r="J167" s="53" t="s">
        <v>19</v>
      </c>
      <c r="K167" s="145">
        <v>10.5</v>
      </c>
      <c r="L167" s="145"/>
      <c r="M167" s="87">
        <v>0.09</v>
      </c>
      <c r="N167" s="87">
        <v>0.04</v>
      </c>
      <c r="O167" s="87">
        <v>29</v>
      </c>
      <c r="P167" s="87">
        <v>0.7</v>
      </c>
      <c r="Q167" s="87">
        <v>0</v>
      </c>
      <c r="R167" s="87">
        <v>282</v>
      </c>
      <c r="S167" s="87">
        <v>10</v>
      </c>
      <c r="T167" s="87">
        <v>87</v>
      </c>
      <c r="U167" s="87">
        <v>10</v>
      </c>
      <c r="V167" s="87">
        <v>59</v>
      </c>
      <c r="W167" s="87">
        <v>1</v>
      </c>
      <c r="X167" s="87">
        <v>29</v>
      </c>
      <c r="Y167" s="87">
        <v>0.1</v>
      </c>
    </row>
    <row r="168" spans="1:26" s="48" customFormat="1" ht="30" customHeight="1" x14ac:dyDescent="0.3">
      <c r="A168" s="20"/>
      <c r="B168" s="302"/>
      <c r="C168" s="248" t="s">
        <v>217</v>
      </c>
      <c r="D168" s="249"/>
      <c r="E168" s="51">
        <v>130</v>
      </c>
      <c r="F168" s="52">
        <v>15</v>
      </c>
      <c r="G168" s="52">
        <v>12.3</v>
      </c>
      <c r="H168" s="52">
        <v>7</v>
      </c>
      <c r="I168" s="52">
        <v>207.9</v>
      </c>
      <c r="J168" s="134" t="s">
        <v>218</v>
      </c>
      <c r="K168" s="145">
        <v>60.16</v>
      </c>
      <c r="L168" s="145"/>
      <c r="M168" s="87">
        <v>7.0000000000000007E-2</v>
      </c>
      <c r="N168" s="87">
        <v>0.16</v>
      </c>
      <c r="O168" s="87">
        <v>35.76</v>
      </c>
      <c r="P168" s="87">
        <v>1.9</v>
      </c>
      <c r="Q168" s="87">
        <v>0.55000000000000004</v>
      </c>
      <c r="R168" s="87">
        <v>268.89999999999998</v>
      </c>
      <c r="S168" s="87">
        <v>282.2</v>
      </c>
      <c r="T168" s="87">
        <v>40.130000000000003</v>
      </c>
      <c r="U168" s="87">
        <v>31.28</v>
      </c>
      <c r="V168" s="87">
        <v>163.78</v>
      </c>
      <c r="W168" s="87">
        <v>1.67</v>
      </c>
      <c r="X168" s="87">
        <v>29.7</v>
      </c>
      <c r="Y168" s="87">
        <v>1.6</v>
      </c>
    </row>
    <row r="169" spans="1:26" s="48" customFormat="1" ht="22.05" customHeight="1" x14ac:dyDescent="0.3">
      <c r="A169" s="20"/>
      <c r="B169" s="302"/>
      <c r="C169" s="280" t="s">
        <v>114</v>
      </c>
      <c r="D169" s="280"/>
      <c r="E169" s="51">
        <v>40</v>
      </c>
      <c r="F169" s="52">
        <f>F16/100*40</f>
        <v>3.04</v>
      </c>
      <c r="G169" s="52">
        <f t="shared" ref="G169:I169" si="74">G16/100*40</f>
        <v>0.36000000000000004</v>
      </c>
      <c r="H169" s="52">
        <f t="shared" si="74"/>
        <v>19.880000000000003</v>
      </c>
      <c r="I169" s="52">
        <f t="shared" si="74"/>
        <v>90.399999999999991</v>
      </c>
      <c r="J169" s="51" t="s">
        <v>63</v>
      </c>
      <c r="K169" s="145">
        <v>3.18</v>
      </c>
      <c r="L169" s="145"/>
      <c r="M169" s="87">
        <f>M16</f>
        <v>0.16400000000000001</v>
      </c>
      <c r="N169" s="87">
        <f t="shared" ref="N169:Y169" si="75">N16</f>
        <v>0.10100000000000001</v>
      </c>
      <c r="O169" s="87">
        <f t="shared" si="75"/>
        <v>0</v>
      </c>
      <c r="P169" s="87">
        <f t="shared" si="75"/>
        <v>2.2400000000000002</v>
      </c>
      <c r="Q169" s="87">
        <f t="shared" si="75"/>
        <v>0.08</v>
      </c>
      <c r="R169" s="87">
        <f t="shared" si="75"/>
        <v>189.2</v>
      </c>
      <c r="S169" s="87">
        <f t="shared" si="75"/>
        <v>50</v>
      </c>
      <c r="T169" s="87">
        <f t="shared" si="75"/>
        <v>1.96</v>
      </c>
      <c r="U169" s="87">
        <f t="shared" si="75"/>
        <v>16.399999999999999</v>
      </c>
      <c r="V169" s="87">
        <f t="shared" si="75"/>
        <v>51.6</v>
      </c>
      <c r="W169" s="87">
        <f t="shared" si="75"/>
        <v>1.44</v>
      </c>
      <c r="X169" s="87">
        <f t="shared" si="75"/>
        <v>0</v>
      </c>
      <c r="Y169" s="87">
        <f t="shared" si="75"/>
        <v>11.52</v>
      </c>
    </row>
    <row r="170" spans="1:26" s="48" customFormat="1" ht="22.05" customHeight="1" x14ac:dyDescent="0.3">
      <c r="A170" s="20"/>
      <c r="B170" s="302"/>
      <c r="C170" s="280" t="s">
        <v>118</v>
      </c>
      <c r="D170" s="280"/>
      <c r="E170" s="51">
        <v>40</v>
      </c>
      <c r="F170" s="52">
        <f>F17/100*40</f>
        <v>1.88</v>
      </c>
      <c r="G170" s="52">
        <f t="shared" ref="G170:I170" si="76">G17/100*40</f>
        <v>0.27999999999999997</v>
      </c>
      <c r="H170" s="52">
        <f t="shared" si="76"/>
        <v>19.920000000000002</v>
      </c>
      <c r="I170" s="52">
        <f t="shared" si="76"/>
        <v>85.600000000000009</v>
      </c>
      <c r="J170" s="51" t="s">
        <v>63</v>
      </c>
      <c r="K170" s="145">
        <v>2.5499999999999998</v>
      </c>
      <c r="L170" s="145"/>
      <c r="M170" s="87">
        <f>M17</f>
        <v>0.17</v>
      </c>
      <c r="N170" s="87">
        <f t="shared" ref="N170:Y170" si="77">N17</f>
        <v>0.13</v>
      </c>
      <c r="O170" s="87">
        <f t="shared" si="77"/>
        <v>0</v>
      </c>
      <c r="P170" s="87">
        <f t="shared" si="77"/>
        <v>1.52</v>
      </c>
      <c r="Q170" s="87">
        <f t="shared" si="77"/>
        <v>0.16</v>
      </c>
      <c r="R170" s="87">
        <f t="shared" si="77"/>
        <v>241.2</v>
      </c>
      <c r="S170" s="87">
        <f t="shared" si="77"/>
        <v>29.2</v>
      </c>
      <c r="T170" s="87">
        <f t="shared" si="77"/>
        <v>0.48</v>
      </c>
      <c r="U170" s="87">
        <f t="shared" si="77"/>
        <v>16</v>
      </c>
      <c r="V170" s="87">
        <f t="shared" si="77"/>
        <v>50</v>
      </c>
      <c r="W170" s="87">
        <f t="shared" si="77"/>
        <v>1.1299999999999999</v>
      </c>
      <c r="X170" s="87">
        <f t="shared" si="77"/>
        <v>0</v>
      </c>
      <c r="Y170" s="87">
        <f t="shared" si="77"/>
        <v>12.36</v>
      </c>
    </row>
    <row r="171" spans="1:26" s="48" customFormat="1" ht="22.05" customHeight="1" x14ac:dyDescent="0.3">
      <c r="A171" s="20"/>
      <c r="B171" s="302"/>
      <c r="C171" s="280" t="s">
        <v>18</v>
      </c>
      <c r="D171" s="280"/>
      <c r="E171" s="51">
        <v>200</v>
      </c>
      <c r="F171" s="52">
        <v>0.3</v>
      </c>
      <c r="G171" s="52">
        <v>0</v>
      </c>
      <c r="H171" s="52">
        <v>6.7</v>
      </c>
      <c r="I171" s="52">
        <v>27.6</v>
      </c>
      <c r="J171" s="53" t="s">
        <v>17</v>
      </c>
      <c r="K171" s="145">
        <v>3.25</v>
      </c>
      <c r="L171" s="152"/>
      <c r="M171" s="87">
        <v>0</v>
      </c>
      <c r="N171" s="87">
        <v>0.1</v>
      </c>
      <c r="O171" s="87">
        <v>0</v>
      </c>
      <c r="P171" s="87">
        <v>7.0000000000000007E-2</v>
      </c>
      <c r="Q171" s="87">
        <v>1</v>
      </c>
      <c r="R171" s="87">
        <v>2</v>
      </c>
      <c r="S171" s="87">
        <v>36</v>
      </c>
      <c r="T171" s="87">
        <v>6</v>
      </c>
      <c r="U171" s="87">
        <v>5</v>
      </c>
      <c r="V171" s="87">
        <v>8</v>
      </c>
      <c r="W171" s="87">
        <v>1</v>
      </c>
      <c r="X171" s="87">
        <v>0</v>
      </c>
      <c r="Y171" s="87">
        <v>0</v>
      </c>
    </row>
    <row r="172" spans="1:26" s="48" customFormat="1" ht="22.05" customHeight="1" x14ac:dyDescent="0.3">
      <c r="A172" s="14"/>
      <c r="B172" s="44"/>
      <c r="C172" s="297" t="s">
        <v>64</v>
      </c>
      <c r="D172" s="297"/>
      <c r="E172" s="45">
        <f>SUM(E166:E171)</f>
        <v>700</v>
      </c>
      <c r="F172" s="45">
        <f t="shared" ref="F172:I172" si="78">SUM(F166:F171)</f>
        <v>28.099999999999998</v>
      </c>
      <c r="G172" s="45">
        <f t="shared" si="78"/>
        <v>20.740000000000002</v>
      </c>
      <c r="H172" s="45">
        <f t="shared" si="78"/>
        <v>106.9</v>
      </c>
      <c r="I172" s="45">
        <f t="shared" si="78"/>
        <v>727.22</v>
      </c>
      <c r="J172" s="58"/>
      <c r="K172" s="58" t="e">
        <f>SUM(#REF!)</f>
        <v>#REF!</v>
      </c>
      <c r="L172" s="145"/>
      <c r="M172" s="109">
        <f>SUM(M166:M171)</f>
        <v>0.51400000000000001</v>
      </c>
      <c r="N172" s="109">
        <f t="shared" ref="N172:Y172" si="79">SUM(N166:N171)</f>
        <v>0.55100000000000005</v>
      </c>
      <c r="O172" s="109">
        <f t="shared" si="79"/>
        <v>71.759999999999991</v>
      </c>
      <c r="P172" s="109">
        <f t="shared" si="79"/>
        <v>6.57</v>
      </c>
      <c r="Q172" s="109">
        <f t="shared" si="79"/>
        <v>8.7899999999999991</v>
      </c>
      <c r="R172" s="109">
        <f t="shared" si="79"/>
        <v>989.10000000000014</v>
      </c>
      <c r="S172" s="109">
        <f t="shared" si="79"/>
        <v>506.59999999999997</v>
      </c>
      <c r="T172" s="109">
        <f t="shared" si="79"/>
        <v>151.87</v>
      </c>
      <c r="U172" s="109">
        <f t="shared" si="79"/>
        <v>87.97999999999999</v>
      </c>
      <c r="V172" s="109">
        <f t="shared" si="79"/>
        <v>361.58000000000004</v>
      </c>
      <c r="W172" s="109">
        <f t="shared" si="79"/>
        <v>7.44</v>
      </c>
      <c r="X172" s="109">
        <f t="shared" si="79"/>
        <v>60.8</v>
      </c>
      <c r="Y172" s="109">
        <f t="shared" si="79"/>
        <v>25.58</v>
      </c>
    </row>
    <row r="173" spans="1:26" s="120" customFormat="1" ht="22.05" customHeight="1" x14ac:dyDescent="0.3">
      <c r="A173" s="14"/>
      <c r="B173" s="36"/>
      <c r="C173" s="40"/>
      <c r="D173" s="40"/>
      <c r="E173" s="229"/>
      <c r="F173" s="229"/>
      <c r="G173" s="229"/>
      <c r="H173" s="229"/>
      <c r="I173" s="229"/>
      <c r="J173" s="97"/>
      <c r="K173" s="97"/>
      <c r="L173" s="97"/>
      <c r="M173" s="198"/>
      <c r="N173" s="198"/>
      <c r="O173" s="198"/>
      <c r="P173" s="198"/>
      <c r="Q173" s="198"/>
      <c r="R173" s="198"/>
      <c r="S173" s="198"/>
      <c r="T173" s="198"/>
      <c r="U173" s="198"/>
      <c r="V173" s="198"/>
      <c r="W173" s="198"/>
      <c r="X173" s="198"/>
      <c r="Y173" s="198"/>
    </row>
    <row r="174" spans="1:26" s="19" customFormat="1" ht="22.05" customHeight="1" x14ac:dyDescent="0.3">
      <c r="A174" s="17"/>
      <c r="B174" s="95"/>
      <c r="C174" s="40"/>
      <c r="D174" s="75"/>
      <c r="E174" s="95"/>
      <c r="F174" s="95"/>
      <c r="G174" s="95"/>
      <c r="H174" s="95"/>
      <c r="I174" s="95"/>
      <c r="J174" s="95"/>
      <c r="K174" s="173" t="e">
        <f>K165+#REF!</f>
        <v>#REF!</v>
      </c>
      <c r="L174" s="173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</row>
    <row r="175" spans="1:26" s="19" customFormat="1" ht="22.05" customHeight="1" x14ac:dyDescent="0.3">
      <c r="A175" s="17"/>
      <c r="B175" s="252" t="s">
        <v>62</v>
      </c>
      <c r="C175" s="252"/>
      <c r="D175" s="252"/>
      <c r="E175" s="252"/>
      <c r="F175" s="252"/>
      <c r="G175" s="252"/>
      <c r="H175" s="252"/>
      <c r="I175" s="252"/>
      <c r="J175" s="252"/>
      <c r="K175" s="252"/>
      <c r="L175" s="18"/>
      <c r="M175" s="322"/>
      <c r="N175" s="322"/>
      <c r="O175" s="322"/>
      <c r="P175" s="322"/>
      <c r="Q175" s="322"/>
      <c r="R175" s="322"/>
      <c r="S175" s="322"/>
      <c r="T175" s="322"/>
      <c r="U175" s="322"/>
      <c r="V175" s="322"/>
      <c r="W175" s="322"/>
      <c r="X175" s="322"/>
      <c r="Y175" s="322"/>
      <c r="Z175" s="112"/>
    </row>
    <row r="176" spans="1:26" s="19" customFormat="1" ht="22.05" customHeight="1" x14ac:dyDescent="0.3">
      <c r="A176" s="17"/>
      <c r="B176" s="253" t="s">
        <v>73</v>
      </c>
      <c r="C176" s="252" t="s">
        <v>1</v>
      </c>
      <c r="D176" s="252"/>
      <c r="E176" s="252" t="s">
        <v>2</v>
      </c>
      <c r="F176" s="252" t="s">
        <v>3</v>
      </c>
      <c r="G176" s="252"/>
      <c r="H176" s="252"/>
      <c r="I176" s="303" t="s">
        <v>145</v>
      </c>
      <c r="J176" s="252" t="s">
        <v>0</v>
      </c>
      <c r="K176" s="362" t="s">
        <v>185</v>
      </c>
      <c r="L176" s="166"/>
      <c r="M176" s="307" t="s">
        <v>159</v>
      </c>
      <c r="N176" s="308"/>
      <c r="O176" s="308"/>
      <c r="P176" s="308"/>
      <c r="Q176" s="308"/>
      <c r="R176" s="308"/>
      <c r="S176" s="308"/>
      <c r="T176" s="308"/>
      <c r="U176" s="308"/>
      <c r="V176" s="308"/>
      <c r="W176" s="308"/>
      <c r="X176" s="308"/>
      <c r="Y176" s="309"/>
    </row>
    <row r="177" spans="1:25" s="19" customFormat="1" ht="46.8" customHeight="1" x14ac:dyDescent="0.3">
      <c r="A177" s="17"/>
      <c r="B177" s="254"/>
      <c r="C177" s="252"/>
      <c r="D177" s="252"/>
      <c r="E177" s="252"/>
      <c r="F177" s="160" t="s">
        <v>142</v>
      </c>
      <c r="G177" s="160" t="s">
        <v>143</v>
      </c>
      <c r="H177" s="160" t="s">
        <v>144</v>
      </c>
      <c r="I177" s="303"/>
      <c r="J177" s="252"/>
      <c r="K177" s="362"/>
      <c r="L177" s="167"/>
      <c r="M177" s="310" t="s">
        <v>180</v>
      </c>
      <c r="N177" s="311"/>
      <c r="O177" s="311"/>
      <c r="P177" s="311"/>
      <c r="Q177" s="311"/>
      <c r="R177" s="311"/>
      <c r="S177" s="311"/>
      <c r="T177" s="311"/>
      <c r="U177" s="311"/>
      <c r="V177" s="311"/>
      <c r="W177" s="311"/>
      <c r="X177" s="311"/>
      <c r="Y177" s="312"/>
    </row>
    <row r="178" spans="1:25" s="19" customFormat="1" ht="22.05" customHeight="1" x14ac:dyDescent="0.3">
      <c r="A178" s="17"/>
      <c r="B178" s="361" t="s">
        <v>84</v>
      </c>
      <c r="C178" s="361"/>
      <c r="D178" s="361"/>
      <c r="E178" s="361"/>
      <c r="F178" s="361"/>
      <c r="G178" s="361"/>
      <c r="H178" s="361"/>
      <c r="I178" s="361"/>
      <c r="J178" s="361"/>
      <c r="K178" s="361"/>
      <c r="L178" s="174"/>
      <c r="M178" s="86" t="s">
        <v>146</v>
      </c>
      <c r="N178" s="86" t="s">
        <v>147</v>
      </c>
      <c r="O178" s="86" t="s">
        <v>148</v>
      </c>
      <c r="P178" s="86" t="s">
        <v>150</v>
      </c>
      <c r="Q178" s="86" t="s">
        <v>149</v>
      </c>
      <c r="R178" s="86" t="s">
        <v>151</v>
      </c>
      <c r="S178" s="86" t="s">
        <v>152</v>
      </c>
      <c r="T178" s="86" t="s">
        <v>153</v>
      </c>
      <c r="U178" s="86" t="s">
        <v>154</v>
      </c>
      <c r="V178" s="86" t="s">
        <v>155</v>
      </c>
      <c r="W178" s="86" t="s">
        <v>156</v>
      </c>
      <c r="X178" s="86" t="s">
        <v>157</v>
      </c>
      <c r="Y178" s="86" t="s">
        <v>158</v>
      </c>
    </row>
    <row r="179" spans="1:25" s="19" customFormat="1" ht="22.05" customHeight="1" x14ac:dyDescent="0.3">
      <c r="A179" s="17"/>
      <c r="B179" s="302" t="s">
        <v>4</v>
      </c>
      <c r="C179" s="280" t="s">
        <v>167</v>
      </c>
      <c r="D179" s="280"/>
      <c r="E179" s="51">
        <v>250</v>
      </c>
      <c r="F179" s="52">
        <v>6.58</v>
      </c>
      <c r="G179" s="52">
        <v>6.9</v>
      </c>
      <c r="H179" s="52">
        <v>23</v>
      </c>
      <c r="I179" s="52">
        <v>180.48</v>
      </c>
      <c r="J179" s="53" t="s">
        <v>28</v>
      </c>
      <c r="K179" s="145">
        <v>18.59</v>
      </c>
      <c r="L179" s="171"/>
      <c r="M179" s="87">
        <v>0.06</v>
      </c>
      <c r="N179" s="87">
        <v>0.2</v>
      </c>
      <c r="O179" s="87">
        <v>28.5</v>
      </c>
      <c r="P179" s="87">
        <v>0.33</v>
      </c>
      <c r="Q179" s="87">
        <v>0.75</v>
      </c>
      <c r="R179" s="87">
        <v>182.75</v>
      </c>
      <c r="S179" s="87">
        <v>258</v>
      </c>
      <c r="T179" s="87">
        <v>209.5</v>
      </c>
      <c r="U179" s="87">
        <v>24.25</v>
      </c>
      <c r="V179" s="87">
        <v>154.25</v>
      </c>
      <c r="W179" s="87">
        <v>0.5</v>
      </c>
      <c r="X179" s="87">
        <v>25.75</v>
      </c>
      <c r="Y179" s="87">
        <v>3</v>
      </c>
    </row>
    <row r="180" spans="1:25" s="19" customFormat="1" ht="22.05" customHeight="1" x14ac:dyDescent="0.3">
      <c r="B180" s="302"/>
      <c r="C180" s="346" t="s">
        <v>25</v>
      </c>
      <c r="D180" s="347"/>
      <c r="E180" s="68">
        <v>10</v>
      </c>
      <c r="F180" s="61">
        <v>0.1</v>
      </c>
      <c r="G180" s="61">
        <v>8.3000000000000007</v>
      </c>
      <c r="H180" s="61">
        <v>0.1</v>
      </c>
      <c r="I180" s="61">
        <v>74.900000000000006</v>
      </c>
      <c r="J180" s="137" t="s">
        <v>225</v>
      </c>
      <c r="K180" s="234">
        <v>7.4</v>
      </c>
      <c r="L180" s="235"/>
      <c r="M180" s="227">
        <v>0</v>
      </c>
      <c r="N180" s="227">
        <v>0</v>
      </c>
      <c r="O180" s="227">
        <v>50</v>
      </c>
      <c r="P180" s="227">
        <v>0.01</v>
      </c>
      <c r="Q180" s="227">
        <v>0</v>
      </c>
      <c r="R180" s="227">
        <v>7</v>
      </c>
      <c r="S180" s="227">
        <v>2</v>
      </c>
      <c r="T180" s="227">
        <v>2</v>
      </c>
      <c r="U180" s="227">
        <v>0</v>
      </c>
      <c r="V180" s="227">
        <v>2</v>
      </c>
      <c r="W180" s="227">
        <v>0</v>
      </c>
      <c r="X180" s="227">
        <v>0</v>
      </c>
      <c r="Y180" s="227">
        <v>0</v>
      </c>
    </row>
    <row r="181" spans="1:25" s="19" customFormat="1" ht="22.05" customHeight="1" x14ac:dyDescent="0.3">
      <c r="A181" s="17"/>
      <c r="B181" s="302"/>
      <c r="C181" s="280" t="s">
        <v>114</v>
      </c>
      <c r="D181" s="280"/>
      <c r="E181" s="51">
        <v>52</v>
      </c>
      <c r="F181" s="52">
        <f>F16/100*52</f>
        <v>3.952</v>
      </c>
      <c r="G181" s="52">
        <f t="shared" ref="G181:I181" si="80">G16/100*52</f>
        <v>0.46800000000000008</v>
      </c>
      <c r="H181" s="52">
        <f t="shared" si="80"/>
        <v>25.844000000000001</v>
      </c>
      <c r="I181" s="52">
        <f t="shared" si="80"/>
        <v>117.51999999999998</v>
      </c>
      <c r="J181" s="51" t="s">
        <v>63</v>
      </c>
      <c r="K181" s="145">
        <v>2.73</v>
      </c>
      <c r="L181" s="171"/>
      <c r="M181" s="87">
        <f>M16/40*52</f>
        <v>0.21320000000000003</v>
      </c>
      <c r="N181" s="87">
        <f t="shared" ref="N181:Y181" si="81">N16/40*52</f>
        <v>0.13130000000000003</v>
      </c>
      <c r="O181" s="87">
        <f t="shared" si="81"/>
        <v>0</v>
      </c>
      <c r="P181" s="87">
        <f t="shared" si="81"/>
        <v>2.9120000000000004</v>
      </c>
      <c r="Q181" s="87">
        <f t="shared" si="81"/>
        <v>0.10400000000000001</v>
      </c>
      <c r="R181" s="87">
        <f t="shared" si="81"/>
        <v>245.95999999999998</v>
      </c>
      <c r="S181" s="87">
        <f t="shared" si="81"/>
        <v>65</v>
      </c>
      <c r="T181" s="87">
        <f t="shared" si="81"/>
        <v>2.548</v>
      </c>
      <c r="U181" s="87">
        <f t="shared" si="81"/>
        <v>21.32</v>
      </c>
      <c r="V181" s="87">
        <f t="shared" si="81"/>
        <v>67.08</v>
      </c>
      <c r="W181" s="87">
        <f t="shared" si="81"/>
        <v>1.8719999999999999</v>
      </c>
      <c r="X181" s="87">
        <f t="shared" si="81"/>
        <v>0</v>
      </c>
      <c r="Y181" s="87">
        <f t="shared" si="81"/>
        <v>14.975999999999999</v>
      </c>
    </row>
    <row r="182" spans="1:25" s="19" customFormat="1" ht="22.05" customHeight="1" x14ac:dyDescent="0.3">
      <c r="A182" s="17"/>
      <c r="B182" s="302"/>
      <c r="C182" s="280" t="s">
        <v>12</v>
      </c>
      <c r="D182" s="280"/>
      <c r="E182" s="51">
        <v>200</v>
      </c>
      <c r="F182" s="52">
        <v>3.5</v>
      </c>
      <c r="G182" s="52">
        <v>3.4</v>
      </c>
      <c r="H182" s="52">
        <v>22.3</v>
      </c>
      <c r="I182" s="52">
        <v>133.4</v>
      </c>
      <c r="J182" s="53" t="s">
        <v>11</v>
      </c>
      <c r="K182" s="145">
        <v>14.55</v>
      </c>
      <c r="L182" s="171"/>
      <c r="M182" s="87">
        <v>0</v>
      </c>
      <c r="N182" s="87">
        <v>0.13</v>
      </c>
      <c r="O182" s="87">
        <v>9.6</v>
      </c>
      <c r="P182" s="87">
        <v>0.12</v>
      </c>
      <c r="Q182" s="87">
        <v>0</v>
      </c>
      <c r="R182" s="87">
        <v>50</v>
      </c>
      <c r="S182" s="87">
        <v>199</v>
      </c>
      <c r="T182" s="87">
        <v>108</v>
      </c>
      <c r="U182" s="87">
        <v>26</v>
      </c>
      <c r="V182" s="87">
        <v>95</v>
      </c>
      <c r="W182" s="87">
        <v>1</v>
      </c>
      <c r="X182" s="87">
        <v>2.7</v>
      </c>
      <c r="Y182" s="87">
        <v>1</v>
      </c>
    </row>
    <row r="183" spans="1:25" s="19" customFormat="1" ht="22.05" customHeight="1" x14ac:dyDescent="0.3">
      <c r="A183" s="17"/>
      <c r="B183" s="302"/>
      <c r="C183" s="280" t="s">
        <v>42</v>
      </c>
      <c r="D183" s="280"/>
      <c r="E183" s="51">
        <v>135</v>
      </c>
      <c r="F183" s="52">
        <v>0.54</v>
      </c>
      <c r="G183" s="52">
        <v>0.54</v>
      </c>
      <c r="H183" s="52">
        <v>13.23</v>
      </c>
      <c r="I183" s="52">
        <v>63.267749999999999</v>
      </c>
      <c r="J183" s="53">
        <v>338</v>
      </c>
      <c r="K183" s="169">
        <v>44</v>
      </c>
      <c r="L183" s="163"/>
      <c r="M183" s="87">
        <v>4.7250000000000007E-2</v>
      </c>
      <c r="N183" s="87">
        <v>2.7E-2</v>
      </c>
      <c r="O183" s="87">
        <v>6.75</v>
      </c>
      <c r="P183" s="87">
        <v>0.51300000000000001</v>
      </c>
      <c r="Q183" s="87">
        <v>13.5</v>
      </c>
      <c r="R183" s="87">
        <v>35.1</v>
      </c>
      <c r="S183" s="87">
        <v>375.29999999999995</v>
      </c>
      <c r="T183" s="87">
        <v>21.6</v>
      </c>
      <c r="U183" s="87">
        <v>12.15</v>
      </c>
      <c r="V183" s="87">
        <v>14.85</v>
      </c>
      <c r="W183" s="87">
        <v>2.97</v>
      </c>
      <c r="X183" s="87">
        <v>2.7</v>
      </c>
      <c r="Y183" s="87">
        <v>0.40500000000000003</v>
      </c>
    </row>
    <row r="184" spans="1:25" s="19" customFormat="1" ht="22.05" customHeight="1" x14ac:dyDescent="0.3">
      <c r="A184" s="17"/>
      <c r="B184" s="69"/>
      <c r="C184" s="319" t="s">
        <v>68</v>
      </c>
      <c r="D184" s="320"/>
      <c r="E184" s="70">
        <f>SUM(E179:E183)</f>
        <v>647</v>
      </c>
      <c r="F184" s="72">
        <f>SUM(F179:F183)</f>
        <v>14.672000000000001</v>
      </c>
      <c r="G184" s="72">
        <f>SUM(G179:G183)</f>
        <v>19.608000000000001</v>
      </c>
      <c r="H184" s="72">
        <f>SUM(H179:H183)</f>
        <v>84.474000000000004</v>
      </c>
      <c r="I184" s="72">
        <f>SUM(I179:I183)</f>
        <v>569.56774999999993</v>
      </c>
      <c r="J184" s="70"/>
      <c r="K184" s="72">
        <f>SUM(K179:K183)</f>
        <v>87.27000000000001</v>
      </c>
      <c r="L184" s="171"/>
      <c r="M184" s="109">
        <f t="shared" ref="M184:Y184" si="82">SUM(M179:M183)</f>
        <v>0.32045000000000001</v>
      </c>
      <c r="N184" s="109">
        <f t="shared" si="82"/>
        <v>0.48830000000000007</v>
      </c>
      <c r="O184" s="109">
        <f t="shared" si="82"/>
        <v>94.85</v>
      </c>
      <c r="P184" s="109">
        <f t="shared" si="82"/>
        <v>3.8850000000000002</v>
      </c>
      <c r="Q184" s="109">
        <f t="shared" si="82"/>
        <v>14.353999999999999</v>
      </c>
      <c r="R184" s="109">
        <f t="shared" si="82"/>
        <v>520.80999999999995</v>
      </c>
      <c r="S184" s="109">
        <f t="shared" si="82"/>
        <v>899.3</v>
      </c>
      <c r="T184" s="109">
        <f t="shared" si="82"/>
        <v>343.64800000000002</v>
      </c>
      <c r="U184" s="109">
        <f t="shared" si="82"/>
        <v>83.72</v>
      </c>
      <c r="V184" s="109">
        <f t="shared" si="82"/>
        <v>333.18</v>
      </c>
      <c r="W184" s="109">
        <f t="shared" si="82"/>
        <v>6.3420000000000005</v>
      </c>
      <c r="X184" s="109">
        <f t="shared" si="82"/>
        <v>31.15</v>
      </c>
      <c r="Y184" s="109">
        <f t="shared" si="82"/>
        <v>19.381</v>
      </c>
    </row>
    <row r="185" spans="1:25" s="48" customFormat="1" ht="28.2" customHeight="1" x14ac:dyDescent="0.3">
      <c r="A185" s="20"/>
      <c r="B185" s="302" t="s">
        <v>9</v>
      </c>
      <c r="C185" s="248" t="s">
        <v>199</v>
      </c>
      <c r="D185" s="249"/>
      <c r="E185" s="51">
        <v>110</v>
      </c>
      <c r="F185" s="52">
        <v>2.8</v>
      </c>
      <c r="G185" s="52">
        <v>11</v>
      </c>
      <c r="H185" s="52">
        <v>12.5</v>
      </c>
      <c r="I185" s="52">
        <v>160.19999999999999</v>
      </c>
      <c r="J185" s="53" t="s">
        <v>200</v>
      </c>
      <c r="K185" s="145">
        <v>11.06</v>
      </c>
      <c r="L185" s="145"/>
      <c r="M185" s="87">
        <v>7.0000000000000007E-2</v>
      </c>
      <c r="N185" s="87">
        <v>7.0000000000000007E-2</v>
      </c>
      <c r="O185" s="87">
        <v>175.1</v>
      </c>
      <c r="P185" s="87">
        <v>0.7</v>
      </c>
      <c r="Q185" s="87">
        <v>72</v>
      </c>
      <c r="R185" s="87">
        <v>160</v>
      </c>
      <c r="S185" s="87">
        <v>297</v>
      </c>
      <c r="T185" s="87">
        <v>77</v>
      </c>
      <c r="U185" s="87">
        <v>28</v>
      </c>
      <c r="V185" s="87">
        <v>53</v>
      </c>
      <c r="W185" s="87">
        <v>2</v>
      </c>
      <c r="X185" s="87">
        <v>19.600000000000001</v>
      </c>
      <c r="Y185" s="87">
        <v>0.4</v>
      </c>
    </row>
    <row r="186" spans="1:25" s="120" customFormat="1" ht="22.05" customHeight="1" x14ac:dyDescent="0.3">
      <c r="A186" s="20"/>
      <c r="B186" s="302"/>
      <c r="C186" s="280" t="s">
        <v>27</v>
      </c>
      <c r="D186" s="280"/>
      <c r="E186" s="51">
        <v>250</v>
      </c>
      <c r="F186" s="52">
        <v>60.59</v>
      </c>
      <c r="G186" s="52">
        <v>9.58</v>
      </c>
      <c r="H186" s="52">
        <v>16.329999999999998</v>
      </c>
      <c r="I186" s="52">
        <v>197.4</v>
      </c>
      <c r="J186" s="53" t="s">
        <v>26</v>
      </c>
      <c r="K186" s="145">
        <v>46.95</v>
      </c>
      <c r="L186" s="145"/>
      <c r="M186" s="119">
        <v>0.17</v>
      </c>
      <c r="N186" s="119">
        <v>0.3</v>
      </c>
      <c r="O186" s="119">
        <v>25</v>
      </c>
      <c r="P186" s="119">
        <v>7.3</v>
      </c>
      <c r="Q186" s="119">
        <v>13</v>
      </c>
      <c r="R186" s="119">
        <v>404.1</v>
      </c>
      <c r="S186" s="119">
        <v>1279.2</v>
      </c>
      <c r="T186" s="119">
        <v>35.6</v>
      </c>
      <c r="U186" s="119">
        <v>58.8</v>
      </c>
      <c r="V186" s="119">
        <v>368.3</v>
      </c>
      <c r="W186" s="119">
        <v>4.7</v>
      </c>
      <c r="X186" s="119">
        <v>26.1</v>
      </c>
      <c r="Y186" s="119">
        <v>0.5</v>
      </c>
    </row>
    <row r="187" spans="1:25" s="48" customFormat="1" ht="22.05" customHeight="1" x14ac:dyDescent="0.3">
      <c r="A187" s="20"/>
      <c r="B187" s="302"/>
      <c r="C187" s="280" t="s">
        <v>114</v>
      </c>
      <c r="D187" s="280"/>
      <c r="E187" s="51">
        <v>40</v>
      </c>
      <c r="F187" s="52">
        <f>F16/100*40</f>
        <v>3.04</v>
      </c>
      <c r="G187" s="52">
        <f t="shared" ref="G187:I187" si="83">G16/100*40</f>
        <v>0.36000000000000004</v>
      </c>
      <c r="H187" s="52">
        <f t="shared" si="83"/>
        <v>19.880000000000003</v>
      </c>
      <c r="I187" s="52">
        <f t="shared" si="83"/>
        <v>90.399999999999991</v>
      </c>
      <c r="J187" s="51" t="s">
        <v>63</v>
      </c>
      <c r="K187" s="145">
        <v>4</v>
      </c>
      <c r="L187" s="145"/>
      <c r="M187" s="87">
        <f>M16/40*40</f>
        <v>0.16400000000000001</v>
      </c>
      <c r="N187" s="87">
        <f t="shared" ref="N187:Y187" si="84">N16/40*40</f>
        <v>0.10100000000000001</v>
      </c>
      <c r="O187" s="87">
        <f t="shared" si="84"/>
        <v>0</v>
      </c>
      <c r="P187" s="87">
        <f t="shared" si="84"/>
        <v>2.2400000000000002</v>
      </c>
      <c r="Q187" s="87">
        <f t="shared" si="84"/>
        <v>0.08</v>
      </c>
      <c r="R187" s="87">
        <f t="shared" si="84"/>
        <v>189.2</v>
      </c>
      <c r="S187" s="87">
        <f t="shared" si="84"/>
        <v>50</v>
      </c>
      <c r="T187" s="87">
        <f t="shared" si="84"/>
        <v>1.96</v>
      </c>
      <c r="U187" s="87">
        <f t="shared" si="84"/>
        <v>16.399999999999999</v>
      </c>
      <c r="V187" s="87">
        <f t="shared" si="84"/>
        <v>51.6</v>
      </c>
      <c r="W187" s="87">
        <f t="shared" si="84"/>
        <v>1.44</v>
      </c>
      <c r="X187" s="87">
        <f t="shared" si="84"/>
        <v>0</v>
      </c>
      <c r="Y187" s="87">
        <f t="shared" si="84"/>
        <v>11.52</v>
      </c>
    </row>
    <row r="188" spans="1:25" s="48" customFormat="1" ht="22.05" customHeight="1" x14ac:dyDescent="0.3">
      <c r="A188" s="20"/>
      <c r="B188" s="302"/>
      <c r="C188" s="280" t="s">
        <v>118</v>
      </c>
      <c r="D188" s="280"/>
      <c r="E188" s="51">
        <v>29</v>
      </c>
      <c r="F188" s="52">
        <f>F17/100*29</f>
        <v>1.363</v>
      </c>
      <c r="G188" s="52">
        <f t="shared" ref="G188:I188" si="85">G17/100*29</f>
        <v>0.20299999999999999</v>
      </c>
      <c r="H188" s="52">
        <f t="shared" si="85"/>
        <v>14.442</v>
      </c>
      <c r="I188" s="52">
        <f t="shared" si="85"/>
        <v>62.06</v>
      </c>
      <c r="J188" s="51" t="s">
        <v>63</v>
      </c>
      <c r="K188" s="145">
        <v>2.73</v>
      </c>
      <c r="L188" s="145"/>
      <c r="M188" s="87">
        <f>M17/40*29</f>
        <v>0.12325000000000001</v>
      </c>
      <c r="N188" s="87">
        <f t="shared" ref="N188:Y188" si="86">N17/40*29</f>
        <v>9.4250000000000014E-2</v>
      </c>
      <c r="O188" s="87">
        <f t="shared" si="86"/>
        <v>0</v>
      </c>
      <c r="P188" s="87">
        <f t="shared" si="86"/>
        <v>1.1019999999999999</v>
      </c>
      <c r="Q188" s="87">
        <f t="shared" si="86"/>
        <v>0.11600000000000001</v>
      </c>
      <c r="R188" s="87">
        <f t="shared" si="86"/>
        <v>174.86999999999998</v>
      </c>
      <c r="S188" s="87">
        <f t="shared" si="86"/>
        <v>21.169999999999998</v>
      </c>
      <c r="T188" s="87">
        <f t="shared" si="86"/>
        <v>0.34800000000000003</v>
      </c>
      <c r="U188" s="87">
        <f t="shared" si="86"/>
        <v>11.600000000000001</v>
      </c>
      <c r="V188" s="87">
        <f t="shared" si="86"/>
        <v>36.25</v>
      </c>
      <c r="W188" s="87">
        <f t="shared" si="86"/>
        <v>0.81924999999999992</v>
      </c>
      <c r="X188" s="87">
        <f t="shared" si="86"/>
        <v>0</v>
      </c>
      <c r="Y188" s="87">
        <f t="shared" si="86"/>
        <v>8.9610000000000003</v>
      </c>
    </row>
    <row r="189" spans="1:25" s="19" customFormat="1" ht="22.05" customHeight="1" x14ac:dyDescent="0.3">
      <c r="A189" s="17"/>
      <c r="B189" s="302"/>
      <c r="C189" s="280" t="s">
        <v>8</v>
      </c>
      <c r="D189" s="280"/>
      <c r="E189" s="51">
        <v>200</v>
      </c>
      <c r="F189" s="52">
        <v>3.8</v>
      </c>
      <c r="G189" s="52">
        <v>3.5</v>
      </c>
      <c r="H189" s="52">
        <v>11.1</v>
      </c>
      <c r="I189" s="52">
        <v>90.8</v>
      </c>
      <c r="J189" s="53" t="s">
        <v>7</v>
      </c>
      <c r="K189" s="148">
        <v>12.47</v>
      </c>
      <c r="L189" s="148"/>
      <c r="M189" s="131">
        <v>0.02</v>
      </c>
      <c r="N189" s="131">
        <v>0.11</v>
      </c>
      <c r="O189" s="131">
        <v>12</v>
      </c>
      <c r="P189" s="131">
        <v>0.2</v>
      </c>
      <c r="Q189" s="131">
        <v>0</v>
      </c>
      <c r="R189" s="131">
        <v>51</v>
      </c>
      <c r="S189" s="131">
        <v>221</v>
      </c>
      <c r="T189" s="131">
        <v>112</v>
      </c>
      <c r="U189" s="131">
        <v>30</v>
      </c>
      <c r="V189" s="131">
        <v>107</v>
      </c>
      <c r="W189" s="131">
        <v>1</v>
      </c>
      <c r="X189" s="131">
        <v>9</v>
      </c>
      <c r="Y189" s="131">
        <v>1.8</v>
      </c>
    </row>
    <row r="190" spans="1:25" s="19" customFormat="1" ht="22.05" customHeight="1" x14ac:dyDescent="0.3">
      <c r="A190" s="17"/>
      <c r="B190" s="302"/>
      <c r="C190" s="280" t="s">
        <v>164</v>
      </c>
      <c r="D190" s="280"/>
      <c r="E190" s="51">
        <v>100</v>
      </c>
      <c r="F190" s="52">
        <v>2.6</v>
      </c>
      <c r="G190" s="52">
        <v>2.5</v>
      </c>
      <c r="H190" s="52">
        <v>16</v>
      </c>
      <c r="I190" s="52">
        <v>95</v>
      </c>
      <c r="J190" s="51" t="s">
        <v>63</v>
      </c>
      <c r="K190" s="145">
        <v>35</v>
      </c>
      <c r="L190" s="171"/>
      <c r="M190" s="87">
        <v>0</v>
      </c>
      <c r="N190" s="87">
        <v>0</v>
      </c>
      <c r="O190" s="87">
        <v>500</v>
      </c>
      <c r="P190" s="87">
        <v>0</v>
      </c>
      <c r="Q190" s="87">
        <v>0</v>
      </c>
      <c r="R190" s="87">
        <v>0</v>
      </c>
      <c r="S190" s="87">
        <v>0</v>
      </c>
      <c r="T190" s="87">
        <v>0</v>
      </c>
      <c r="U190" s="87">
        <v>0</v>
      </c>
      <c r="V190" s="87">
        <v>0</v>
      </c>
      <c r="W190" s="87">
        <v>0</v>
      </c>
      <c r="X190" s="87">
        <v>0</v>
      </c>
      <c r="Y190" s="87">
        <v>0</v>
      </c>
    </row>
    <row r="191" spans="1:25" s="48" customFormat="1" ht="22.05" customHeight="1" x14ac:dyDescent="0.3">
      <c r="A191" s="20"/>
      <c r="B191" s="43"/>
      <c r="C191" s="263" t="s">
        <v>64</v>
      </c>
      <c r="D191" s="264"/>
      <c r="E191" s="45">
        <f>SUM(E185:E190)</f>
        <v>729</v>
      </c>
      <c r="F191" s="45">
        <f t="shared" ref="F191:I191" si="87">SUM(F185:F190)</f>
        <v>74.192999999999998</v>
      </c>
      <c r="G191" s="45">
        <f t="shared" si="87"/>
        <v>27.142999999999997</v>
      </c>
      <c r="H191" s="45">
        <f t="shared" si="87"/>
        <v>90.251999999999995</v>
      </c>
      <c r="I191" s="45">
        <f t="shared" si="87"/>
        <v>695.86</v>
      </c>
      <c r="J191" s="74"/>
      <c r="K191" s="58" t="e">
        <f>SUM(#REF!)</f>
        <v>#REF!</v>
      </c>
      <c r="L191" s="201"/>
      <c r="M191" s="109">
        <f>SUM(M185:M190)</f>
        <v>0.54725000000000001</v>
      </c>
      <c r="N191" s="109">
        <f t="shared" ref="N191:Y191" si="88">SUM(N185:N190)</f>
        <v>0.67525000000000002</v>
      </c>
      <c r="O191" s="109">
        <f t="shared" si="88"/>
        <v>712.1</v>
      </c>
      <c r="P191" s="109">
        <f t="shared" si="88"/>
        <v>11.542</v>
      </c>
      <c r="Q191" s="109">
        <f t="shared" si="88"/>
        <v>85.195999999999998</v>
      </c>
      <c r="R191" s="109">
        <f t="shared" si="88"/>
        <v>979.17</v>
      </c>
      <c r="S191" s="109">
        <f t="shared" si="88"/>
        <v>1868.3700000000001</v>
      </c>
      <c r="T191" s="109">
        <f t="shared" si="88"/>
        <v>226.90799999999999</v>
      </c>
      <c r="U191" s="109">
        <f t="shared" si="88"/>
        <v>144.79999999999998</v>
      </c>
      <c r="V191" s="109">
        <f t="shared" si="88"/>
        <v>616.15000000000009</v>
      </c>
      <c r="W191" s="109">
        <f t="shared" si="88"/>
        <v>9.9592500000000008</v>
      </c>
      <c r="X191" s="109">
        <f t="shared" si="88"/>
        <v>54.7</v>
      </c>
      <c r="Y191" s="109">
        <f t="shared" si="88"/>
        <v>23.181000000000001</v>
      </c>
    </row>
    <row r="192" spans="1:25" ht="22.05" customHeight="1" x14ac:dyDescent="0.3">
      <c r="A192" s="12"/>
      <c r="B192" s="15"/>
      <c r="C192" s="15"/>
      <c r="D192" s="15"/>
      <c r="E192" s="15"/>
      <c r="F192" s="15"/>
      <c r="G192" s="15"/>
      <c r="H192" s="15"/>
      <c r="I192" s="15"/>
      <c r="J192" s="15"/>
      <c r="K192" s="5"/>
      <c r="L192" s="5"/>
    </row>
    <row r="193" spans="1:25" s="19" customFormat="1" ht="21.6" customHeight="1" x14ac:dyDescent="0.3">
      <c r="A193" s="12"/>
      <c r="B193" s="36"/>
      <c r="C193" s="93"/>
      <c r="D193" s="93"/>
      <c r="E193" s="14"/>
      <c r="F193" s="14"/>
      <c r="G193" s="14"/>
      <c r="H193" s="14"/>
      <c r="I193" s="14"/>
      <c r="J193" s="14"/>
      <c r="K193" s="18"/>
      <c r="L193" s="18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</row>
    <row r="194" spans="1:25" s="19" customFormat="1" ht="22.05" customHeight="1" x14ac:dyDescent="0.3">
      <c r="A194" s="17"/>
      <c r="B194" s="252" t="s">
        <v>62</v>
      </c>
      <c r="C194" s="252"/>
      <c r="D194" s="252"/>
      <c r="E194" s="252"/>
      <c r="F194" s="252"/>
      <c r="G194" s="252"/>
      <c r="H194" s="252"/>
      <c r="I194" s="252"/>
      <c r="J194" s="252"/>
      <c r="K194" s="252"/>
      <c r="L194" s="18"/>
      <c r="M194" s="322"/>
      <c r="N194" s="322"/>
      <c r="O194" s="322"/>
      <c r="P194" s="322"/>
      <c r="Q194" s="322"/>
      <c r="R194" s="322"/>
      <c r="S194" s="322"/>
      <c r="T194" s="322"/>
      <c r="U194" s="322"/>
      <c r="V194" s="322"/>
      <c r="W194" s="322"/>
      <c r="X194" s="322"/>
      <c r="Y194" s="322"/>
    </row>
    <row r="195" spans="1:25" s="19" customFormat="1" ht="22.05" customHeight="1" x14ac:dyDescent="0.3">
      <c r="A195" s="17"/>
      <c r="B195" s="253" t="s">
        <v>73</v>
      </c>
      <c r="C195" s="252" t="s">
        <v>1</v>
      </c>
      <c r="D195" s="252"/>
      <c r="E195" s="252" t="s">
        <v>2</v>
      </c>
      <c r="F195" s="252" t="s">
        <v>3</v>
      </c>
      <c r="G195" s="252"/>
      <c r="H195" s="252"/>
      <c r="I195" s="303" t="s">
        <v>145</v>
      </c>
      <c r="J195" s="252" t="s">
        <v>0</v>
      </c>
      <c r="K195" s="362" t="s">
        <v>185</v>
      </c>
      <c r="L195" s="166"/>
      <c r="M195" s="307" t="s">
        <v>159</v>
      </c>
      <c r="N195" s="308"/>
      <c r="O195" s="308"/>
      <c r="P195" s="308"/>
      <c r="Q195" s="308"/>
      <c r="R195" s="308"/>
      <c r="S195" s="308"/>
      <c r="T195" s="308"/>
      <c r="U195" s="308"/>
      <c r="V195" s="308"/>
      <c r="W195" s="308"/>
      <c r="X195" s="308"/>
      <c r="Y195" s="309"/>
    </row>
    <row r="196" spans="1:25" s="19" customFormat="1" ht="42.6" customHeight="1" x14ac:dyDescent="0.3">
      <c r="A196" s="17"/>
      <c r="B196" s="254"/>
      <c r="C196" s="252"/>
      <c r="D196" s="252"/>
      <c r="E196" s="252"/>
      <c r="F196" s="160" t="s">
        <v>142</v>
      </c>
      <c r="G196" s="160" t="s">
        <v>143</v>
      </c>
      <c r="H196" s="160" t="s">
        <v>144</v>
      </c>
      <c r="I196" s="303"/>
      <c r="J196" s="252"/>
      <c r="K196" s="362"/>
      <c r="L196" s="167"/>
      <c r="M196" s="310" t="s">
        <v>181</v>
      </c>
      <c r="N196" s="311"/>
      <c r="O196" s="311"/>
      <c r="P196" s="311"/>
      <c r="Q196" s="311"/>
      <c r="R196" s="311"/>
      <c r="S196" s="311"/>
      <c r="T196" s="311"/>
      <c r="U196" s="311"/>
      <c r="V196" s="311"/>
      <c r="W196" s="311"/>
      <c r="X196" s="311"/>
      <c r="Y196" s="312"/>
    </row>
    <row r="197" spans="1:25" s="19" customFormat="1" ht="22.05" customHeight="1" x14ac:dyDescent="0.3">
      <c r="A197" s="17"/>
      <c r="B197" s="361" t="s">
        <v>87</v>
      </c>
      <c r="C197" s="361"/>
      <c r="D197" s="361"/>
      <c r="E197" s="361"/>
      <c r="F197" s="361"/>
      <c r="G197" s="361"/>
      <c r="H197" s="361"/>
      <c r="I197" s="361"/>
      <c r="J197" s="361"/>
      <c r="K197" s="361"/>
      <c r="L197" s="174"/>
      <c r="M197" s="86" t="s">
        <v>146</v>
      </c>
      <c r="N197" s="86" t="s">
        <v>147</v>
      </c>
      <c r="O197" s="86" t="s">
        <v>148</v>
      </c>
      <c r="P197" s="86" t="s">
        <v>150</v>
      </c>
      <c r="Q197" s="86" t="s">
        <v>149</v>
      </c>
      <c r="R197" s="86" t="s">
        <v>151</v>
      </c>
      <c r="S197" s="86" t="s">
        <v>152</v>
      </c>
      <c r="T197" s="86" t="s">
        <v>153</v>
      </c>
      <c r="U197" s="86" t="s">
        <v>154</v>
      </c>
      <c r="V197" s="86" t="s">
        <v>155</v>
      </c>
      <c r="W197" s="86" t="s">
        <v>156</v>
      </c>
      <c r="X197" s="86" t="s">
        <v>157</v>
      </c>
      <c r="Y197" s="86" t="s">
        <v>158</v>
      </c>
    </row>
    <row r="198" spans="1:25" s="19" customFormat="1" ht="22.05" customHeight="1" x14ac:dyDescent="0.3">
      <c r="A198" s="17"/>
      <c r="B198" s="302" t="s">
        <v>94</v>
      </c>
      <c r="C198" s="280" t="s">
        <v>47</v>
      </c>
      <c r="D198" s="366"/>
      <c r="E198" s="51">
        <v>250</v>
      </c>
      <c r="F198" s="52">
        <v>6.3</v>
      </c>
      <c r="G198" s="52">
        <v>10.199999999999999</v>
      </c>
      <c r="H198" s="52">
        <v>37.9</v>
      </c>
      <c r="I198" s="52">
        <v>269</v>
      </c>
      <c r="J198" s="53">
        <v>121</v>
      </c>
      <c r="K198" s="145">
        <v>23.08</v>
      </c>
      <c r="L198" s="171"/>
      <c r="M198" s="87">
        <v>0.06</v>
      </c>
      <c r="N198" s="87">
        <v>0.18</v>
      </c>
      <c r="O198" s="87">
        <v>78.83</v>
      </c>
      <c r="P198" s="87">
        <v>0</v>
      </c>
      <c r="Q198" s="87">
        <v>0.27</v>
      </c>
      <c r="R198" s="87">
        <v>0</v>
      </c>
      <c r="S198" s="87">
        <v>0</v>
      </c>
      <c r="T198" s="87">
        <v>152.51</v>
      </c>
      <c r="U198" s="87">
        <v>33.93</v>
      </c>
      <c r="V198" s="87">
        <v>153.4</v>
      </c>
      <c r="W198" s="87">
        <v>0.52</v>
      </c>
      <c r="X198" s="87">
        <v>0</v>
      </c>
      <c r="Y198" s="87">
        <v>0</v>
      </c>
    </row>
    <row r="199" spans="1:25" s="19" customFormat="1" ht="24" customHeight="1" x14ac:dyDescent="0.3">
      <c r="A199" s="17"/>
      <c r="B199" s="302"/>
      <c r="C199" s="248" t="s">
        <v>16</v>
      </c>
      <c r="D199" s="249"/>
      <c r="E199" s="51">
        <v>15</v>
      </c>
      <c r="F199" s="52">
        <v>3.51</v>
      </c>
      <c r="G199" s="52">
        <v>4.5</v>
      </c>
      <c r="H199" s="52">
        <v>0</v>
      </c>
      <c r="I199" s="52">
        <v>54.5</v>
      </c>
      <c r="J199" s="53" t="s">
        <v>15</v>
      </c>
      <c r="K199" s="169">
        <v>10.97</v>
      </c>
      <c r="L199" s="163"/>
      <c r="M199" s="87">
        <v>0.01</v>
      </c>
      <c r="N199" s="87">
        <v>0.04</v>
      </c>
      <c r="O199" s="87">
        <v>39</v>
      </c>
      <c r="P199" s="87">
        <v>0.04</v>
      </c>
      <c r="Q199" s="87">
        <v>0</v>
      </c>
      <c r="R199" s="87">
        <v>150</v>
      </c>
      <c r="S199" s="87">
        <v>17</v>
      </c>
      <c r="T199" s="87">
        <v>150</v>
      </c>
      <c r="U199" s="87">
        <v>7</v>
      </c>
      <c r="V199" s="87">
        <v>82</v>
      </c>
      <c r="W199" s="87">
        <v>0</v>
      </c>
      <c r="X199" s="87">
        <v>0</v>
      </c>
      <c r="Y199" s="87">
        <v>0</v>
      </c>
    </row>
    <row r="200" spans="1:25" s="48" customFormat="1" ht="22.05" customHeight="1" x14ac:dyDescent="0.3">
      <c r="A200" s="20"/>
      <c r="B200" s="302"/>
      <c r="C200" s="280" t="s">
        <v>114</v>
      </c>
      <c r="D200" s="280"/>
      <c r="E200" s="51">
        <v>54</v>
      </c>
      <c r="F200" s="52">
        <f>F16/100*54</f>
        <v>4.1040000000000001</v>
      </c>
      <c r="G200" s="52">
        <f t="shared" ref="G200:I200" si="89">G16/100*54</f>
        <v>0.48600000000000004</v>
      </c>
      <c r="H200" s="52">
        <f t="shared" si="89"/>
        <v>26.838000000000005</v>
      </c>
      <c r="I200" s="52">
        <f t="shared" si="89"/>
        <v>122.03999999999999</v>
      </c>
      <c r="J200" s="51" t="s">
        <v>63</v>
      </c>
      <c r="K200" s="145">
        <v>3.27</v>
      </c>
      <c r="L200" s="152"/>
      <c r="M200" s="140">
        <f>M16/40*54</f>
        <v>0.22140000000000001</v>
      </c>
      <c r="N200" s="140">
        <f t="shared" ref="N200:Y200" si="90">N16/40*54</f>
        <v>0.13635000000000003</v>
      </c>
      <c r="O200" s="140">
        <f t="shared" si="90"/>
        <v>0</v>
      </c>
      <c r="P200" s="140">
        <f t="shared" si="90"/>
        <v>3.0240000000000005</v>
      </c>
      <c r="Q200" s="140">
        <f t="shared" si="90"/>
        <v>0.108</v>
      </c>
      <c r="R200" s="140">
        <f t="shared" si="90"/>
        <v>255.42</v>
      </c>
      <c r="S200" s="140">
        <f t="shared" si="90"/>
        <v>67.5</v>
      </c>
      <c r="T200" s="140">
        <f t="shared" si="90"/>
        <v>2.6459999999999999</v>
      </c>
      <c r="U200" s="140">
        <f t="shared" si="90"/>
        <v>22.139999999999997</v>
      </c>
      <c r="V200" s="140">
        <f t="shared" si="90"/>
        <v>69.66</v>
      </c>
      <c r="W200" s="140">
        <f t="shared" si="90"/>
        <v>1.944</v>
      </c>
      <c r="X200" s="140">
        <f t="shared" si="90"/>
        <v>0</v>
      </c>
      <c r="Y200" s="140">
        <f t="shared" si="90"/>
        <v>15.552</v>
      </c>
    </row>
    <row r="201" spans="1:25" s="19" customFormat="1" ht="22.05" customHeight="1" x14ac:dyDescent="0.3">
      <c r="A201" s="17"/>
      <c r="B201" s="302"/>
      <c r="C201" s="248" t="s">
        <v>8</v>
      </c>
      <c r="D201" s="249"/>
      <c r="E201" s="51">
        <v>200</v>
      </c>
      <c r="F201" s="52">
        <v>3.8</v>
      </c>
      <c r="G201" s="52">
        <v>3.5</v>
      </c>
      <c r="H201" s="52">
        <v>11.1</v>
      </c>
      <c r="I201" s="52">
        <v>90.8</v>
      </c>
      <c r="J201" s="53" t="s">
        <v>7</v>
      </c>
      <c r="K201" s="169">
        <v>12.47</v>
      </c>
      <c r="L201" s="163"/>
      <c r="M201" s="227">
        <v>0.02</v>
      </c>
      <c r="N201" s="227">
        <v>0.11</v>
      </c>
      <c r="O201" s="227">
        <v>12</v>
      </c>
      <c r="P201" s="227">
        <v>0.2</v>
      </c>
      <c r="Q201" s="227">
        <v>0</v>
      </c>
      <c r="R201" s="227">
        <v>51</v>
      </c>
      <c r="S201" s="227">
        <v>221</v>
      </c>
      <c r="T201" s="227">
        <v>112</v>
      </c>
      <c r="U201" s="227">
        <v>30</v>
      </c>
      <c r="V201" s="227">
        <v>107</v>
      </c>
      <c r="W201" s="227">
        <v>1</v>
      </c>
      <c r="X201" s="227">
        <v>9</v>
      </c>
      <c r="Y201" s="227">
        <v>1.8</v>
      </c>
    </row>
    <row r="202" spans="1:25" s="50" customFormat="1" ht="22.05" customHeight="1" x14ac:dyDescent="0.3">
      <c r="A202" s="49"/>
      <c r="B202" s="302"/>
      <c r="C202" s="350" t="s">
        <v>202</v>
      </c>
      <c r="D202" s="351"/>
      <c r="E202" s="54">
        <v>50</v>
      </c>
      <c r="F202" s="186">
        <v>3.2</v>
      </c>
      <c r="G202" s="186">
        <v>17.3</v>
      </c>
      <c r="H202" s="186">
        <v>27.3</v>
      </c>
      <c r="I202" s="186">
        <v>273.5</v>
      </c>
      <c r="J202" s="187" t="s">
        <v>63</v>
      </c>
      <c r="K202" s="188">
        <v>30</v>
      </c>
      <c r="L202" s="189"/>
      <c r="M202" s="228">
        <v>0.01</v>
      </c>
      <c r="N202" s="228">
        <v>0.03</v>
      </c>
      <c r="O202" s="228">
        <v>0</v>
      </c>
      <c r="P202" s="228">
        <v>0.15</v>
      </c>
      <c r="Q202" s="228">
        <v>0</v>
      </c>
      <c r="R202" s="228">
        <v>5.5</v>
      </c>
      <c r="S202" s="228">
        <v>146.5</v>
      </c>
      <c r="T202" s="228">
        <v>2.5</v>
      </c>
      <c r="U202" s="228">
        <v>5</v>
      </c>
      <c r="V202" s="228">
        <v>39</v>
      </c>
      <c r="W202" s="228">
        <v>0.7</v>
      </c>
      <c r="X202" s="228">
        <v>0</v>
      </c>
      <c r="Y202" s="228">
        <v>0</v>
      </c>
    </row>
    <row r="203" spans="1:25" s="19" customFormat="1" ht="22.05" customHeight="1" x14ac:dyDescent="0.3">
      <c r="A203" s="17"/>
      <c r="B203" s="45"/>
      <c r="C203" s="297" t="s">
        <v>71</v>
      </c>
      <c r="D203" s="360"/>
      <c r="E203" s="45">
        <f>SUM(E198:E202)</f>
        <v>569</v>
      </c>
      <c r="F203" s="58">
        <f>SUM(F198:F202)</f>
        <v>20.913999999999998</v>
      </c>
      <c r="G203" s="58">
        <f>SUM(G198:G202)</f>
        <v>35.986000000000004</v>
      </c>
      <c r="H203" s="58">
        <f>SUM(H198:H202)</f>
        <v>103.13799999999999</v>
      </c>
      <c r="I203" s="58">
        <f>SUM(I198:I202)</f>
        <v>809.83999999999992</v>
      </c>
      <c r="J203" s="45"/>
      <c r="K203" s="58">
        <f>SUM(K198:K202)</f>
        <v>79.789999999999992</v>
      </c>
      <c r="L203" s="171"/>
      <c r="M203" s="109">
        <f t="shared" ref="M203:Y203" si="91">SUM(M198:M202)</f>
        <v>0.32140000000000002</v>
      </c>
      <c r="N203" s="109">
        <f t="shared" si="91"/>
        <v>0.49635000000000007</v>
      </c>
      <c r="O203" s="109">
        <f t="shared" si="91"/>
        <v>129.82999999999998</v>
      </c>
      <c r="P203" s="109">
        <f t="shared" si="91"/>
        <v>3.4140000000000006</v>
      </c>
      <c r="Q203" s="109">
        <f t="shared" si="91"/>
        <v>0.378</v>
      </c>
      <c r="R203" s="109">
        <f t="shared" si="91"/>
        <v>461.91999999999996</v>
      </c>
      <c r="S203" s="109">
        <f t="shared" si="91"/>
        <v>452</v>
      </c>
      <c r="T203" s="109">
        <f t="shared" si="91"/>
        <v>419.65600000000001</v>
      </c>
      <c r="U203" s="109">
        <f t="shared" si="91"/>
        <v>98.07</v>
      </c>
      <c r="V203" s="109">
        <f t="shared" si="91"/>
        <v>451.06</v>
      </c>
      <c r="W203" s="109">
        <f t="shared" si="91"/>
        <v>4.1639999999999997</v>
      </c>
      <c r="X203" s="109">
        <f t="shared" si="91"/>
        <v>9</v>
      </c>
      <c r="Y203" s="109">
        <f t="shared" si="91"/>
        <v>17.352</v>
      </c>
    </row>
    <row r="204" spans="1:25" s="120" customFormat="1" ht="22.05" customHeight="1" x14ac:dyDescent="0.3">
      <c r="A204" s="20"/>
      <c r="B204" s="306" t="s">
        <v>9</v>
      </c>
      <c r="C204" s="248" t="s">
        <v>215</v>
      </c>
      <c r="D204" s="249"/>
      <c r="E204" s="51">
        <v>120</v>
      </c>
      <c r="F204" s="52">
        <v>1.2</v>
      </c>
      <c r="G204" s="52">
        <v>5.4</v>
      </c>
      <c r="H204" s="52">
        <v>17.399999999999999</v>
      </c>
      <c r="I204" s="52">
        <v>120</v>
      </c>
      <c r="J204" s="53">
        <v>10</v>
      </c>
      <c r="K204" s="145">
        <v>8.32</v>
      </c>
      <c r="L204" s="145"/>
      <c r="M204" s="119">
        <v>0.05</v>
      </c>
      <c r="N204" s="119">
        <v>0.06</v>
      </c>
      <c r="O204" s="119">
        <v>0</v>
      </c>
      <c r="P204" s="119">
        <v>0</v>
      </c>
      <c r="Q204" s="119">
        <v>2.0699999999999998</v>
      </c>
      <c r="R204" s="119">
        <v>0</v>
      </c>
      <c r="S204" s="119">
        <v>0</v>
      </c>
      <c r="T204" s="119">
        <v>24.84</v>
      </c>
      <c r="U204" s="119">
        <v>34.130000000000003</v>
      </c>
      <c r="V204" s="119">
        <v>49.49</v>
      </c>
      <c r="W204" s="119">
        <v>0.66</v>
      </c>
      <c r="X204" s="119">
        <v>0</v>
      </c>
      <c r="Y204" s="119">
        <v>0</v>
      </c>
    </row>
    <row r="205" spans="1:25" s="120" customFormat="1" ht="22.05" customHeight="1" x14ac:dyDescent="0.3">
      <c r="B205" s="306"/>
      <c r="C205" s="288" t="s">
        <v>30</v>
      </c>
      <c r="D205" s="289"/>
      <c r="E205" s="121">
        <v>200</v>
      </c>
      <c r="F205" s="122">
        <v>4.8</v>
      </c>
      <c r="G205" s="122">
        <v>7</v>
      </c>
      <c r="H205" s="122">
        <v>50.7</v>
      </c>
      <c r="I205" s="122">
        <v>284.7</v>
      </c>
      <c r="J205" s="123" t="s">
        <v>29</v>
      </c>
      <c r="K205" s="149">
        <v>48.79</v>
      </c>
      <c r="L205" s="151"/>
      <c r="M205" s="141">
        <v>0.04</v>
      </c>
      <c r="N205" s="119">
        <v>0.02</v>
      </c>
      <c r="O205" s="119">
        <v>27</v>
      </c>
      <c r="P205" s="119">
        <v>0.9</v>
      </c>
      <c r="Q205" s="119">
        <v>0</v>
      </c>
      <c r="R205" s="119">
        <v>275</v>
      </c>
      <c r="S205" s="119">
        <v>41</v>
      </c>
      <c r="T205" s="119">
        <v>20</v>
      </c>
      <c r="U205" s="119">
        <v>14</v>
      </c>
      <c r="V205" s="119">
        <v>62</v>
      </c>
      <c r="W205" s="119">
        <v>1</v>
      </c>
      <c r="X205" s="119">
        <v>26.7</v>
      </c>
      <c r="Y205" s="119">
        <v>9.6999999999999993</v>
      </c>
    </row>
    <row r="206" spans="1:25" s="120" customFormat="1" ht="30" customHeight="1" x14ac:dyDescent="0.3">
      <c r="B206" s="306"/>
      <c r="C206" s="288" t="s">
        <v>219</v>
      </c>
      <c r="D206" s="289"/>
      <c r="E206" s="121">
        <v>150</v>
      </c>
      <c r="F206" s="122">
        <v>19.3</v>
      </c>
      <c r="G206" s="122">
        <v>4.8</v>
      </c>
      <c r="H206" s="122">
        <v>12.5</v>
      </c>
      <c r="I206" s="122">
        <v>171.07</v>
      </c>
      <c r="J206" s="123" t="s">
        <v>220</v>
      </c>
      <c r="K206" s="149">
        <v>53.46</v>
      </c>
      <c r="L206" s="151"/>
      <c r="M206" s="141">
        <v>0.13</v>
      </c>
      <c r="N206" s="141">
        <v>0.11</v>
      </c>
      <c r="O206" s="141">
        <v>6.13</v>
      </c>
      <c r="P206" s="141">
        <v>5.47</v>
      </c>
      <c r="Q206" s="141">
        <v>0</v>
      </c>
      <c r="R206" s="141">
        <v>305</v>
      </c>
      <c r="S206" s="141">
        <v>288</v>
      </c>
      <c r="T206" s="141">
        <v>47</v>
      </c>
      <c r="U206" s="141">
        <v>69</v>
      </c>
      <c r="V206" s="141">
        <v>164</v>
      </c>
      <c r="W206" s="141">
        <v>1.33</v>
      </c>
      <c r="X206" s="141">
        <v>17</v>
      </c>
      <c r="Y206" s="141">
        <v>18</v>
      </c>
    </row>
    <row r="207" spans="1:25" s="48" customFormat="1" ht="22.05" customHeight="1" x14ac:dyDescent="0.3">
      <c r="A207" s="20"/>
      <c r="B207" s="306"/>
      <c r="C207" s="280" t="s">
        <v>114</v>
      </c>
      <c r="D207" s="280"/>
      <c r="E207" s="51">
        <v>46</v>
      </c>
      <c r="F207" s="52">
        <f>F16/100*46</f>
        <v>3.496</v>
      </c>
      <c r="G207" s="52">
        <f t="shared" ref="G207:I207" si="92">G16/100*46</f>
        <v>0.41400000000000003</v>
      </c>
      <c r="H207" s="52">
        <f t="shared" si="92"/>
        <v>22.862000000000002</v>
      </c>
      <c r="I207" s="52">
        <f t="shared" si="92"/>
        <v>103.96</v>
      </c>
      <c r="J207" s="51" t="s">
        <v>63</v>
      </c>
      <c r="K207" s="145">
        <v>3.27</v>
      </c>
      <c r="L207" s="152"/>
      <c r="M207" s="140">
        <f>M16/40*46</f>
        <v>0.18860000000000002</v>
      </c>
      <c r="N207" s="140">
        <f t="shared" ref="N207:Y207" si="93">N16/40*46</f>
        <v>0.11615000000000002</v>
      </c>
      <c r="O207" s="140">
        <f t="shared" si="93"/>
        <v>0</v>
      </c>
      <c r="P207" s="140">
        <f t="shared" si="93"/>
        <v>2.5760000000000005</v>
      </c>
      <c r="Q207" s="140">
        <f t="shared" si="93"/>
        <v>9.1999999999999998E-2</v>
      </c>
      <c r="R207" s="140">
        <f t="shared" si="93"/>
        <v>217.57999999999998</v>
      </c>
      <c r="S207" s="140">
        <f t="shared" si="93"/>
        <v>57.5</v>
      </c>
      <c r="T207" s="140">
        <f t="shared" si="93"/>
        <v>2.254</v>
      </c>
      <c r="U207" s="140">
        <f t="shared" si="93"/>
        <v>18.86</v>
      </c>
      <c r="V207" s="140">
        <f t="shared" si="93"/>
        <v>59.34</v>
      </c>
      <c r="W207" s="140">
        <f t="shared" si="93"/>
        <v>1.6559999999999999</v>
      </c>
      <c r="X207" s="140">
        <f t="shared" si="93"/>
        <v>0</v>
      </c>
      <c r="Y207" s="140">
        <f t="shared" si="93"/>
        <v>13.247999999999999</v>
      </c>
    </row>
    <row r="208" spans="1:25" s="48" customFormat="1" ht="22.05" customHeight="1" x14ac:dyDescent="0.3">
      <c r="A208" s="20"/>
      <c r="B208" s="306"/>
      <c r="C208" s="280" t="s">
        <v>118</v>
      </c>
      <c r="D208" s="280"/>
      <c r="E208" s="51">
        <v>30</v>
      </c>
      <c r="F208" s="52">
        <f>F17/100*30</f>
        <v>1.41</v>
      </c>
      <c r="G208" s="52">
        <f t="shared" ref="G208:I208" si="94">G17/100*30</f>
        <v>0.20999999999999996</v>
      </c>
      <c r="H208" s="52">
        <f t="shared" si="94"/>
        <v>14.94</v>
      </c>
      <c r="I208" s="52">
        <f t="shared" si="94"/>
        <v>64.2</v>
      </c>
      <c r="J208" s="51" t="s">
        <v>63</v>
      </c>
      <c r="K208" s="145">
        <v>2.73</v>
      </c>
      <c r="L208" s="152"/>
      <c r="M208" s="140">
        <f>M17/40*30</f>
        <v>0.1275</v>
      </c>
      <c r="N208" s="140">
        <f t="shared" ref="N208:Y208" si="95">N17/40*30</f>
        <v>9.7500000000000003E-2</v>
      </c>
      <c r="O208" s="140">
        <f t="shared" si="95"/>
        <v>0</v>
      </c>
      <c r="P208" s="140">
        <f t="shared" si="95"/>
        <v>1.1399999999999999</v>
      </c>
      <c r="Q208" s="140">
        <f t="shared" si="95"/>
        <v>0.12</v>
      </c>
      <c r="R208" s="140">
        <f t="shared" si="95"/>
        <v>180.89999999999998</v>
      </c>
      <c r="S208" s="140">
        <f t="shared" si="95"/>
        <v>21.9</v>
      </c>
      <c r="T208" s="140">
        <f t="shared" si="95"/>
        <v>0.36</v>
      </c>
      <c r="U208" s="140">
        <f t="shared" si="95"/>
        <v>12</v>
      </c>
      <c r="V208" s="140">
        <f t="shared" si="95"/>
        <v>37.5</v>
      </c>
      <c r="W208" s="140">
        <f t="shared" si="95"/>
        <v>0.84749999999999992</v>
      </c>
      <c r="X208" s="140">
        <f t="shared" si="95"/>
        <v>0</v>
      </c>
      <c r="Y208" s="140">
        <f t="shared" si="95"/>
        <v>9.27</v>
      </c>
    </row>
    <row r="209" spans="1:25" s="48" customFormat="1" ht="22.05" customHeight="1" x14ac:dyDescent="0.3">
      <c r="A209" s="20"/>
      <c r="B209" s="306"/>
      <c r="C209" s="280" t="s">
        <v>187</v>
      </c>
      <c r="D209" s="280"/>
      <c r="E209" s="51">
        <v>200</v>
      </c>
      <c r="F209" s="52">
        <v>0.6</v>
      </c>
      <c r="G209" s="52">
        <v>0</v>
      </c>
      <c r="H209" s="52">
        <v>22.7</v>
      </c>
      <c r="I209" s="52">
        <v>93.2</v>
      </c>
      <c r="J209" s="53" t="s">
        <v>32</v>
      </c>
      <c r="K209" s="145">
        <v>5.17</v>
      </c>
      <c r="L209" s="145"/>
      <c r="M209" s="87">
        <v>0</v>
      </c>
      <c r="N209" s="87">
        <v>18.3</v>
      </c>
      <c r="O209" s="87">
        <v>0.06</v>
      </c>
      <c r="P209" s="87">
        <v>0</v>
      </c>
      <c r="Q209" s="87">
        <v>0</v>
      </c>
      <c r="R209" s="87">
        <v>0</v>
      </c>
      <c r="S209" s="87">
        <v>0</v>
      </c>
      <c r="T209" s="87">
        <v>60</v>
      </c>
      <c r="U209" s="87">
        <v>3</v>
      </c>
      <c r="V209" s="87">
        <v>5</v>
      </c>
      <c r="W209" s="87">
        <v>0</v>
      </c>
      <c r="X209" s="87">
        <v>0</v>
      </c>
      <c r="Y209" s="87">
        <v>0</v>
      </c>
    </row>
    <row r="210" spans="1:25" s="48" customFormat="1" ht="22.05" customHeight="1" x14ac:dyDescent="0.3">
      <c r="A210" s="20"/>
      <c r="B210" s="306"/>
      <c r="C210" s="248" t="s">
        <v>221</v>
      </c>
      <c r="D210" s="249"/>
      <c r="E210" s="51">
        <v>50</v>
      </c>
      <c r="F210" s="52">
        <v>0.95</v>
      </c>
      <c r="G210" s="52">
        <v>4.78</v>
      </c>
      <c r="H210" s="52">
        <v>14.44</v>
      </c>
      <c r="I210" s="52">
        <v>110</v>
      </c>
      <c r="J210" s="53" t="s">
        <v>63</v>
      </c>
      <c r="K210" s="145">
        <v>15</v>
      </c>
      <c r="L210" s="152"/>
      <c r="M210" s="140">
        <v>0.06</v>
      </c>
      <c r="N210" s="87">
        <v>0.04</v>
      </c>
      <c r="O210" s="87">
        <v>0</v>
      </c>
      <c r="P210" s="87">
        <v>0</v>
      </c>
      <c r="Q210" s="87">
        <v>0</v>
      </c>
      <c r="R210" s="87">
        <v>0</v>
      </c>
      <c r="S210" s="87">
        <v>0</v>
      </c>
      <c r="T210" s="87">
        <v>19.28</v>
      </c>
      <c r="U210" s="87">
        <v>0</v>
      </c>
      <c r="V210" s="87">
        <v>0</v>
      </c>
      <c r="W210" s="87">
        <v>1.04</v>
      </c>
      <c r="X210" s="87">
        <v>0</v>
      </c>
      <c r="Y210" s="87">
        <v>0</v>
      </c>
    </row>
    <row r="211" spans="1:25" s="50" customFormat="1" ht="22.05" customHeight="1" x14ac:dyDescent="0.3">
      <c r="A211" s="14"/>
      <c r="B211" s="44"/>
      <c r="C211" s="297" t="s">
        <v>64</v>
      </c>
      <c r="D211" s="297"/>
      <c r="E211" s="45">
        <f>SUM(E204:E210)</f>
        <v>796</v>
      </c>
      <c r="F211" s="45">
        <f t="shared" ref="F211:I211" si="96">SUM(F204:F210)</f>
        <v>31.756</v>
      </c>
      <c r="G211" s="45">
        <f t="shared" si="96"/>
        <v>22.604000000000003</v>
      </c>
      <c r="H211" s="45">
        <f t="shared" si="96"/>
        <v>155.54199999999997</v>
      </c>
      <c r="I211" s="45">
        <f t="shared" si="96"/>
        <v>947.13000000000011</v>
      </c>
      <c r="J211" s="45"/>
      <c r="K211" s="150" t="e">
        <f>SUM(#REF!)</f>
        <v>#REF!</v>
      </c>
      <c r="L211" s="154"/>
      <c r="M211" s="142">
        <f>SUM(M204:M210)</f>
        <v>0.59610000000000007</v>
      </c>
      <c r="N211" s="142">
        <f t="shared" ref="N211:Y211" si="97">SUM(N204:N210)</f>
        <v>18.743649999999999</v>
      </c>
      <c r="O211" s="142">
        <f t="shared" si="97"/>
        <v>33.190000000000005</v>
      </c>
      <c r="P211" s="142">
        <f t="shared" si="97"/>
        <v>10.086000000000002</v>
      </c>
      <c r="Q211" s="142">
        <f t="shared" si="97"/>
        <v>2.282</v>
      </c>
      <c r="R211" s="142">
        <f t="shared" si="97"/>
        <v>978.4799999999999</v>
      </c>
      <c r="S211" s="142">
        <f t="shared" si="97"/>
        <v>408.4</v>
      </c>
      <c r="T211" s="142">
        <f t="shared" si="97"/>
        <v>173.73400000000001</v>
      </c>
      <c r="U211" s="142">
        <f t="shared" si="97"/>
        <v>150.99</v>
      </c>
      <c r="V211" s="142">
        <f t="shared" si="97"/>
        <v>377.33000000000004</v>
      </c>
      <c r="W211" s="142">
        <f t="shared" si="97"/>
        <v>6.5335000000000001</v>
      </c>
      <c r="X211" s="142">
        <f t="shared" si="97"/>
        <v>43.7</v>
      </c>
      <c r="Y211" s="142">
        <f t="shared" si="97"/>
        <v>50.218000000000004</v>
      </c>
    </row>
    <row r="212" spans="1:25" ht="22.05" customHeight="1" x14ac:dyDescent="0.3">
      <c r="A212" s="12"/>
      <c r="B212" s="36"/>
      <c r="C212" s="93"/>
      <c r="D212" s="93"/>
      <c r="E212" s="14"/>
      <c r="F212" s="37"/>
      <c r="G212" s="37"/>
      <c r="H212" s="37"/>
      <c r="I212" s="37"/>
      <c r="J212" s="14"/>
      <c r="K212" s="172"/>
      <c r="L212" s="172"/>
    </row>
    <row r="213" spans="1:25" ht="22.05" customHeight="1" x14ac:dyDescent="0.3">
      <c r="A213" s="12"/>
      <c r="B213" s="36"/>
      <c r="C213" s="272"/>
      <c r="D213" s="272"/>
      <c r="E213" s="37"/>
      <c r="F213" s="37"/>
      <c r="G213" s="37"/>
      <c r="H213" s="37"/>
      <c r="I213" s="37"/>
      <c r="J213" s="15"/>
      <c r="K213" s="5"/>
      <c r="L213" s="5"/>
    </row>
    <row r="214" spans="1:25" s="25" customFormat="1" ht="22.05" customHeight="1" x14ac:dyDescent="0.3">
      <c r="A214" s="12"/>
      <c r="B214" s="326" t="s">
        <v>41</v>
      </c>
      <c r="C214" s="326"/>
      <c r="D214" s="326"/>
      <c r="E214" s="326"/>
      <c r="F214" s="326"/>
      <c r="G214" s="326"/>
      <c r="H214" s="326"/>
      <c r="I214" s="326"/>
      <c r="J214" s="13"/>
      <c r="K214" s="5"/>
      <c r="L214" s="5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</row>
    <row r="215" spans="1:25" s="25" customFormat="1" ht="22.05" customHeight="1" x14ac:dyDescent="0.3">
      <c r="A215" s="12"/>
      <c r="B215" s="326"/>
      <c r="C215" s="326"/>
      <c r="D215" s="326"/>
      <c r="E215" s="326"/>
      <c r="F215" s="326"/>
      <c r="G215" s="326"/>
      <c r="H215" s="326"/>
      <c r="I215" s="326"/>
      <c r="J215" s="23"/>
      <c r="K215" s="5"/>
      <c r="L215" s="5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</row>
    <row r="216" spans="1:25" s="25" customFormat="1" ht="22.05" customHeight="1" x14ac:dyDescent="0.3">
      <c r="A216" s="12"/>
      <c r="B216" s="326"/>
      <c r="C216" s="326"/>
      <c r="D216" s="326"/>
      <c r="E216" s="326"/>
      <c r="F216" s="326"/>
      <c r="G216" s="326"/>
      <c r="H216" s="326"/>
      <c r="I216" s="326"/>
      <c r="J216" s="24"/>
      <c r="K216" s="5"/>
      <c r="L216" s="5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</row>
    <row r="217" spans="1:25" s="25" customFormat="1" ht="22.05" customHeight="1" x14ac:dyDescent="0.3">
      <c r="A217" s="1"/>
      <c r="B217" s="285"/>
      <c r="C217" s="285"/>
      <c r="D217" s="285"/>
      <c r="E217" s="285"/>
      <c r="F217" s="285"/>
      <c r="G217" s="285"/>
      <c r="H217" s="285"/>
      <c r="I217" s="285"/>
      <c r="J217" s="94"/>
      <c r="K217" s="5"/>
      <c r="L217" s="5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</row>
    <row r="218" spans="1:25" s="25" customFormat="1" ht="22.05" customHeight="1" x14ac:dyDescent="0.3">
      <c r="A218" s="1"/>
      <c r="B218" s="8"/>
      <c r="C218" s="8"/>
      <c r="D218" s="8"/>
      <c r="E218" s="8"/>
      <c r="F218" s="8"/>
      <c r="G218" s="8"/>
      <c r="H218" s="8"/>
      <c r="I218" s="8"/>
      <c r="J218" s="8"/>
      <c r="K218" s="5"/>
      <c r="L218" s="5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</row>
    <row r="219" spans="1:25" s="25" customFormat="1" ht="22.05" customHeight="1" x14ac:dyDescent="0.3">
      <c r="A219" s="1"/>
      <c r="B219" s="286" t="s">
        <v>57</v>
      </c>
      <c r="C219" s="286"/>
      <c r="D219" s="286"/>
      <c r="E219" s="286"/>
      <c r="F219" s="286"/>
      <c r="G219" s="286"/>
      <c r="H219" s="286"/>
      <c r="I219" s="286"/>
      <c r="J219" s="22">
        <v>1</v>
      </c>
      <c r="K219" s="1"/>
      <c r="L219" s="1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</row>
    <row r="220" spans="1:25" s="25" customFormat="1" ht="22.05" customHeight="1" x14ac:dyDescent="0.3">
      <c r="A220" s="1"/>
      <c r="B220" s="287" t="s">
        <v>45</v>
      </c>
      <c r="C220" s="287"/>
      <c r="D220" s="287"/>
      <c r="E220" s="287"/>
      <c r="F220" s="287"/>
      <c r="G220" s="287"/>
      <c r="H220" s="287"/>
      <c r="I220" s="287"/>
      <c r="J220" s="22">
        <v>2</v>
      </c>
      <c r="K220" s="5"/>
      <c r="L220" s="5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</row>
    <row r="221" spans="1:25" s="25" customFormat="1" ht="22.05" customHeight="1" x14ac:dyDescent="0.3">
      <c r="A221" s="1"/>
      <c r="B221" s="287" t="s">
        <v>46</v>
      </c>
      <c r="C221" s="287"/>
      <c r="D221" s="287"/>
      <c r="E221" s="287"/>
      <c r="F221" s="287"/>
      <c r="G221" s="287"/>
      <c r="H221" s="287"/>
      <c r="I221" s="287"/>
      <c r="J221" s="22">
        <v>3</v>
      </c>
      <c r="K221" s="5"/>
      <c r="L221" s="5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</row>
    <row r="222" spans="1:25" s="25" customFormat="1" ht="22.05" customHeight="1" x14ac:dyDescent="0.3">
      <c r="A222" s="1"/>
      <c r="B222" s="283" t="s">
        <v>48</v>
      </c>
      <c r="C222" s="283"/>
      <c r="D222" s="283"/>
      <c r="E222" s="283"/>
      <c r="F222" s="283"/>
      <c r="G222" s="283"/>
      <c r="H222" s="283"/>
      <c r="I222" s="283"/>
      <c r="J222" s="22">
        <v>4</v>
      </c>
      <c r="K222" s="5"/>
      <c r="L222" s="5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</row>
    <row r="223" spans="1:25" s="25" customFormat="1" ht="22.05" customHeight="1" x14ac:dyDescent="0.3">
      <c r="A223" s="1"/>
      <c r="B223" s="8"/>
      <c r="C223" s="8"/>
      <c r="D223" s="8"/>
      <c r="E223" s="8"/>
      <c r="F223" s="8"/>
      <c r="G223" s="8"/>
      <c r="H223" s="8"/>
      <c r="I223" s="8"/>
      <c r="J223" s="8"/>
      <c r="K223" s="5"/>
      <c r="L223" s="5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</row>
    <row r="224" spans="1:25" s="25" customFormat="1" ht="36.75" customHeight="1" x14ac:dyDescent="0.3">
      <c r="A224" s="9"/>
      <c r="B224" s="8"/>
      <c r="C224" s="8"/>
      <c r="D224" s="8"/>
      <c r="E224" s="8"/>
      <c r="F224" s="8"/>
      <c r="G224" s="8"/>
      <c r="H224" s="8"/>
      <c r="I224" s="8"/>
      <c r="J224" s="8"/>
      <c r="K224" s="5"/>
      <c r="L224" s="5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</row>
    <row r="225" spans="1:25" s="25" customFormat="1" ht="21.75" customHeight="1" x14ac:dyDescent="0.3">
      <c r="A225" s="1"/>
      <c r="B225" s="10"/>
      <c r="C225" s="10"/>
      <c r="D225" s="10"/>
      <c r="E225" s="10"/>
      <c r="F225" s="10"/>
      <c r="G225" s="10"/>
      <c r="H225" s="10"/>
      <c r="I225" s="10"/>
      <c r="J225" s="10"/>
      <c r="K225" s="5"/>
      <c r="L225" s="5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</row>
    <row r="226" spans="1:25" s="25" customFormat="1" ht="22.5" customHeight="1" x14ac:dyDescent="0.3">
      <c r="A226" s="1"/>
      <c r="B226" s="10"/>
      <c r="C226" s="10"/>
      <c r="D226" s="10"/>
      <c r="E226" s="10"/>
      <c r="F226" s="10"/>
      <c r="G226" s="10"/>
      <c r="H226" s="10"/>
      <c r="I226" s="10"/>
      <c r="J226" s="10"/>
      <c r="K226" s="5"/>
      <c r="L226" s="5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</row>
    <row r="227" spans="1:25" s="25" customFormat="1" ht="24.75" customHeight="1" x14ac:dyDescent="0.3">
      <c r="A227" s="1"/>
      <c r="B227" s="10"/>
      <c r="C227" s="10"/>
      <c r="D227" s="10"/>
      <c r="E227" s="10"/>
      <c r="F227" s="10"/>
      <c r="G227" s="10"/>
      <c r="H227" s="10"/>
      <c r="I227" s="10"/>
      <c r="J227" s="10"/>
      <c r="K227" s="5"/>
      <c r="L227" s="5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</row>
    <row r="228" spans="1:25" s="25" customFormat="1" ht="25.5" customHeight="1" x14ac:dyDescent="0.3">
      <c r="A228" s="1"/>
      <c r="B228" s="10"/>
      <c r="C228" s="10"/>
      <c r="D228" s="10"/>
      <c r="E228" s="10"/>
      <c r="F228" s="10"/>
      <c r="G228" s="10"/>
      <c r="H228" s="10"/>
      <c r="I228" s="10"/>
      <c r="J228" s="10"/>
      <c r="K228" s="5"/>
      <c r="L228" s="5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</row>
    <row r="229" spans="1:25" s="25" customFormat="1" ht="21" customHeight="1" x14ac:dyDescent="0.3">
      <c r="A229" s="1"/>
      <c r="B229" s="10"/>
      <c r="C229" s="10"/>
      <c r="D229" s="10"/>
      <c r="E229" s="10"/>
      <c r="F229" s="10"/>
      <c r="G229" s="10"/>
      <c r="H229" s="10"/>
      <c r="I229" s="10"/>
      <c r="J229" s="10"/>
      <c r="K229" s="5"/>
      <c r="L229" s="5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</row>
    <row r="230" spans="1:25" s="25" customFormat="1" ht="43.5" customHeight="1" x14ac:dyDescent="0.3">
      <c r="A230" s="1"/>
      <c r="B230" s="10"/>
      <c r="C230" s="10"/>
      <c r="D230" s="10"/>
      <c r="E230" s="10"/>
      <c r="F230" s="10"/>
      <c r="G230" s="10"/>
      <c r="H230" s="10"/>
      <c r="I230" s="10"/>
      <c r="J230" s="10"/>
      <c r="K230" s="5"/>
      <c r="L230" s="5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</row>
    <row r="231" spans="1:25" s="25" customFormat="1" ht="45.75" customHeight="1" x14ac:dyDescent="0.3">
      <c r="A231" s="1"/>
      <c r="B231" s="10"/>
      <c r="C231" s="10"/>
      <c r="D231" s="10"/>
      <c r="E231" s="10"/>
      <c r="F231" s="10"/>
      <c r="G231" s="10"/>
      <c r="H231" s="10"/>
      <c r="I231" s="10"/>
      <c r="J231" s="10"/>
      <c r="K231" s="5"/>
      <c r="L231" s="5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</row>
    <row r="232" spans="1:25" s="25" customFormat="1" ht="61.5" customHeight="1" x14ac:dyDescent="0.3">
      <c r="A232" s="1"/>
      <c r="B232" s="10"/>
      <c r="C232" s="10"/>
      <c r="D232" s="10"/>
      <c r="E232" s="10"/>
      <c r="F232" s="10"/>
      <c r="G232" s="10"/>
      <c r="H232" s="10"/>
      <c r="I232" s="10"/>
      <c r="J232" s="10"/>
      <c r="K232" s="5"/>
      <c r="L232" s="5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</row>
    <row r="233" spans="1:25" s="25" customFormat="1" ht="30.75" customHeight="1" x14ac:dyDescent="0.3">
      <c r="A233" s="1"/>
      <c r="B233" s="10"/>
      <c r="C233" s="10"/>
      <c r="D233" s="10"/>
      <c r="E233" s="10"/>
      <c r="F233" s="10"/>
      <c r="G233" s="10"/>
      <c r="H233" s="10"/>
      <c r="I233" s="10"/>
      <c r="J233" s="10"/>
      <c r="K233" s="5"/>
      <c r="L233" s="5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</row>
    <row r="234" spans="1:25" s="25" customFormat="1" ht="51" customHeight="1" x14ac:dyDescent="0.3">
      <c r="A234" s="1"/>
      <c r="B234" s="10"/>
      <c r="C234" s="10"/>
      <c r="D234" s="10"/>
      <c r="E234" s="10"/>
      <c r="F234" s="10"/>
      <c r="G234" s="10"/>
      <c r="H234" s="10"/>
      <c r="I234" s="10"/>
      <c r="J234" s="10"/>
      <c r="K234" s="5"/>
      <c r="L234" s="5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</row>
    <row r="235" spans="1:25" s="25" customFormat="1" ht="67.5" customHeight="1" x14ac:dyDescent="0.3">
      <c r="A235" s="7"/>
      <c r="B235" s="10"/>
      <c r="C235" s="10"/>
      <c r="D235" s="10"/>
      <c r="E235" s="10"/>
      <c r="F235" s="10"/>
      <c r="G235" s="10"/>
      <c r="H235" s="10"/>
      <c r="I235" s="10"/>
      <c r="J235" s="10"/>
      <c r="K235" s="5"/>
      <c r="L235" s="5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</row>
    <row r="236" spans="1:25" s="25" customFormat="1" ht="17.399999999999999" x14ac:dyDescent="0.3">
      <c r="A236" s="7"/>
      <c r="B236" s="10"/>
      <c r="C236" s="10"/>
      <c r="D236" s="10"/>
      <c r="E236" s="10"/>
      <c r="F236" s="10"/>
      <c r="G236" s="10"/>
      <c r="H236" s="10"/>
      <c r="I236" s="10"/>
      <c r="J236" s="10"/>
      <c r="K236" s="5"/>
      <c r="L236" s="5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</row>
    <row r="237" spans="1:25" s="25" customFormat="1" ht="14.4" x14ac:dyDescent="0.3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5"/>
      <c r="L237" s="5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</row>
    <row r="238" spans="1:25" s="25" customFormat="1" ht="14.4" x14ac:dyDescent="0.3">
      <c r="A238" s="7"/>
      <c r="B238" s="1"/>
      <c r="C238" s="1"/>
      <c r="D238" s="1"/>
      <c r="E238" s="1"/>
      <c r="F238" s="1"/>
      <c r="G238" s="1"/>
      <c r="H238" s="1"/>
      <c r="I238" s="1"/>
      <c r="J238" s="1"/>
      <c r="K238" s="5"/>
      <c r="L238" s="5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</row>
    <row r="239" spans="1:25" s="25" customFormat="1" ht="14.4" x14ac:dyDescent="0.3">
      <c r="A239" s="7"/>
      <c r="B239" s="1"/>
      <c r="C239" s="1"/>
      <c r="D239" s="1"/>
      <c r="E239" s="1"/>
      <c r="F239" s="1"/>
      <c r="G239" s="1"/>
      <c r="H239" s="1"/>
      <c r="I239" s="1"/>
      <c r="J239" s="1"/>
      <c r="K239" s="5"/>
      <c r="L239" s="5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</row>
    <row r="240" spans="1:25" s="25" customFormat="1" ht="14.4" x14ac:dyDescent="0.3">
      <c r="A240" s="7"/>
      <c r="B240" s="1"/>
      <c r="C240" s="1"/>
      <c r="D240" s="1"/>
      <c r="E240" s="1"/>
      <c r="F240" s="1"/>
      <c r="G240" s="1"/>
      <c r="H240" s="1"/>
      <c r="I240" s="1"/>
      <c r="J240" s="1"/>
      <c r="K240" s="5"/>
      <c r="L240" s="5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</row>
    <row r="241" spans="1:25" s="25" customFormat="1" ht="14.4" x14ac:dyDescent="0.3">
      <c r="A241" s="7"/>
      <c r="B241" s="1"/>
      <c r="C241" s="1"/>
      <c r="D241" s="1"/>
      <c r="E241" s="1"/>
      <c r="F241" s="1"/>
      <c r="G241" s="1"/>
      <c r="H241" s="1"/>
      <c r="I241" s="1"/>
      <c r="J241" s="1"/>
      <c r="K241" s="5"/>
      <c r="L241" s="5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</row>
    <row r="242" spans="1:25" s="25" customFormat="1" ht="35.25" customHeight="1" x14ac:dyDescent="0.3">
      <c r="A242" s="7"/>
      <c r="B242" s="1"/>
      <c r="C242" s="1"/>
      <c r="D242" s="1"/>
      <c r="E242" s="1"/>
      <c r="F242" s="1"/>
      <c r="G242" s="1"/>
      <c r="H242" s="1"/>
      <c r="I242" s="1"/>
      <c r="J242" s="1"/>
      <c r="K242" s="5"/>
      <c r="L242" s="5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</row>
    <row r="243" spans="1:25" ht="36.75" customHeight="1" x14ac:dyDescent="0.3">
      <c r="A243" s="7"/>
      <c r="K243" s="5"/>
      <c r="L243" s="5"/>
    </row>
    <row r="244" spans="1:25" ht="63.75" customHeight="1" x14ac:dyDescent="0.3">
      <c r="A244" s="7"/>
      <c r="K244" s="5"/>
      <c r="L244" s="5"/>
    </row>
    <row r="245" spans="1:25" ht="42" customHeight="1" x14ac:dyDescent="0.3">
      <c r="K245" s="5"/>
      <c r="L245" s="5"/>
    </row>
    <row r="246" spans="1:25" s="9" customFormat="1" ht="4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1"/>
      <c r="L246" s="11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</row>
    <row r="247" spans="1:25" ht="36" customHeight="1" x14ac:dyDescent="0.3">
      <c r="K247" s="5"/>
      <c r="L247" s="5"/>
    </row>
    <row r="248" spans="1:25" ht="36" customHeight="1" x14ac:dyDescent="0.3">
      <c r="K248" s="5"/>
      <c r="L248" s="5"/>
    </row>
    <row r="249" spans="1:25" ht="34.5" customHeight="1" x14ac:dyDescent="0.3">
      <c r="K249" s="5"/>
      <c r="L249" s="5"/>
    </row>
    <row r="250" spans="1:25" ht="78.75" customHeight="1" x14ac:dyDescent="0.3">
      <c r="K250" s="5"/>
      <c r="L250" s="5"/>
    </row>
    <row r="251" spans="1:25" ht="59.25" customHeight="1" x14ac:dyDescent="0.3">
      <c r="K251" s="5"/>
      <c r="L251" s="5"/>
    </row>
    <row r="252" spans="1:25" ht="31.5" customHeight="1" x14ac:dyDescent="0.3">
      <c r="K252" s="5"/>
      <c r="L252" s="5"/>
    </row>
    <row r="253" spans="1:25" ht="60" customHeight="1" x14ac:dyDescent="0.3">
      <c r="K253" s="5"/>
      <c r="L253" s="5"/>
    </row>
    <row r="254" spans="1:25" s="1" customFormat="1" ht="47.25" customHeight="1" x14ac:dyDescent="0.3">
      <c r="K254" s="5"/>
      <c r="L254" s="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</row>
    <row r="255" spans="1:25" ht="50.25" customHeight="1" x14ac:dyDescent="0.3">
      <c r="K255" s="5"/>
      <c r="L255" s="5"/>
    </row>
    <row r="256" spans="1:25" ht="78.75" customHeight="1" x14ac:dyDescent="0.3">
      <c r="K256" s="5"/>
      <c r="L256" s="5"/>
    </row>
    <row r="257" spans="11:25" ht="15.75" customHeight="1" x14ac:dyDescent="0.3">
      <c r="K257" s="5"/>
      <c r="L257" s="5"/>
    </row>
    <row r="258" spans="11:25" ht="44.25" customHeight="1" x14ac:dyDescent="0.3">
      <c r="K258" s="5"/>
      <c r="L258" s="5"/>
    </row>
    <row r="259" spans="11:25" ht="57.75" customHeight="1" x14ac:dyDescent="0.3">
      <c r="K259" s="5"/>
      <c r="L259" s="5"/>
    </row>
    <row r="260" spans="11:25" ht="52.5" customHeight="1" x14ac:dyDescent="0.3">
      <c r="K260" s="5"/>
      <c r="L260" s="5"/>
    </row>
    <row r="261" spans="11:25" ht="63.75" customHeight="1" x14ac:dyDescent="0.3"/>
    <row r="262" spans="11:25" ht="43.5" customHeight="1" x14ac:dyDescent="0.3"/>
    <row r="263" spans="11:25" s="1" customFormat="1" ht="45.75" customHeight="1" x14ac:dyDescent="0.3"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</row>
    <row r="264" spans="11:25" s="1" customFormat="1" ht="43.5" customHeight="1" x14ac:dyDescent="0.3"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</row>
    <row r="265" spans="11:25" s="1" customFormat="1" ht="95.25" customHeight="1" x14ac:dyDescent="0.3"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</row>
    <row r="266" spans="11:25" s="1" customFormat="1" ht="60.75" customHeight="1" x14ac:dyDescent="0.3"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</row>
    <row r="267" spans="11:25" s="1" customFormat="1" ht="69" customHeight="1" x14ac:dyDescent="0.3"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</row>
    <row r="268" spans="11:25" s="1" customFormat="1" ht="72.75" customHeight="1" x14ac:dyDescent="0.3"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</row>
    <row r="269" spans="11:25" s="1" customFormat="1" ht="69" customHeight="1" x14ac:dyDescent="0.3"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</row>
  </sheetData>
  <mergeCells count="295">
    <mergeCell ref="C190:D190"/>
    <mergeCell ref="B204:B210"/>
    <mergeCell ref="C204:D204"/>
    <mergeCell ref="C205:D205"/>
    <mergeCell ref="C206:D206"/>
    <mergeCell ref="C207:D207"/>
    <mergeCell ref="C208:D208"/>
    <mergeCell ref="C209:D209"/>
    <mergeCell ref="C210:D210"/>
    <mergeCell ref="C199:D199"/>
    <mergeCell ref="C200:D200"/>
    <mergeCell ref="C191:D191"/>
    <mergeCell ref="B197:K197"/>
    <mergeCell ref="F195:H195"/>
    <mergeCell ref="I195:I196"/>
    <mergeCell ref="C141:D141"/>
    <mergeCell ref="C142:D142"/>
    <mergeCell ref="C144:D144"/>
    <mergeCell ref="B147:B152"/>
    <mergeCell ref="C147:D147"/>
    <mergeCell ref="C148:D148"/>
    <mergeCell ref="C149:D149"/>
    <mergeCell ref="C150:D150"/>
    <mergeCell ref="C151:D151"/>
    <mergeCell ref="C152:D152"/>
    <mergeCell ref="C82:D82"/>
    <mergeCell ref="B87:B93"/>
    <mergeCell ref="C87:D87"/>
    <mergeCell ref="C88:D88"/>
    <mergeCell ref="C89:D89"/>
    <mergeCell ref="C90:D90"/>
    <mergeCell ref="C91:D91"/>
    <mergeCell ref="C92:D92"/>
    <mergeCell ref="C93:D93"/>
    <mergeCell ref="C27:D27"/>
    <mergeCell ref="B38:B39"/>
    <mergeCell ref="C34:D34"/>
    <mergeCell ref="B67:B72"/>
    <mergeCell ref="C67:D67"/>
    <mergeCell ref="C68:D68"/>
    <mergeCell ref="C69:D69"/>
    <mergeCell ref="C70:D70"/>
    <mergeCell ref="C71:D71"/>
    <mergeCell ref="C72:D72"/>
    <mergeCell ref="C107:D107"/>
    <mergeCell ref="C108:D108"/>
    <mergeCell ref="C109:D109"/>
    <mergeCell ref="C110:D110"/>
    <mergeCell ref="C111:D111"/>
    <mergeCell ref="C112:D112"/>
    <mergeCell ref="C25:D25"/>
    <mergeCell ref="B28:B33"/>
    <mergeCell ref="C28:D28"/>
    <mergeCell ref="C29:D29"/>
    <mergeCell ref="C30:D30"/>
    <mergeCell ref="C31:D31"/>
    <mergeCell ref="C32:D32"/>
    <mergeCell ref="C33:D33"/>
    <mergeCell ref="B47:B52"/>
    <mergeCell ref="C47:D47"/>
    <mergeCell ref="C48:D48"/>
    <mergeCell ref="C49:D49"/>
    <mergeCell ref="C50:D50"/>
    <mergeCell ref="C51:D51"/>
    <mergeCell ref="C52:D52"/>
    <mergeCell ref="B41:B45"/>
    <mergeCell ref="C41:D41"/>
    <mergeCell ref="C42:D42"/>
    <mergeCell ref="C128:D128"/>
    <mergeCell ref="C129:D129"/>
    <mergeCell ref="C130:D130"/>
    <mergeCell ref="C131:D131"/>
    <mergeCell ref="C132:D132"/>
    <mergeCell ref="C81:D81"/>
    <mergeCell ref="B79:K79"/>
    <mergeCell ref="C83:D83"/>
    <mergeCell ref="C84:D84"/>
    <mergeCell ref="C85:D85"/>
    <mergeCell ref="K98:K99"/>
    <mergeCell ref="B98:B99"/>
    <mergeCell ref="F117:H117"/>
    <mergeCell ref="I117:I118"/>
    <mergeCell ref="B126:B132"/>
    <mergeCell ref="C98:D99"/>
    <mergeCell ref="B101:B105"/>
    <mergeCell ref="C101:D101"/>
    <mergeCell ref="C102:D102"/>
    <mergeCell ref="C104:D104"/>
    <mergeCell ref="C103:D103"/>
    <mergeCell ref="C113:D113"/>
    <mergeCell ref="C105:D105"/>
    <mergeCell ref="B107:B112"/>
    <mergeCell ref="B18:K18"/>
    <mergeCell ref="B37:K37"/>
    <mergeCell ref="B56:K56"/>
    <mergeCell ref="B76:K76"/>
    <mergeCell ref="B97:K97"/>
    <mergeCell ref="B116:K116"/>
    <mergeCell ref="B156:K156"/>
    <mergeCell ref="K19:K20"/>
    <mergeCell ref="B21:K21"/>
    <mergeCell ref="K38:K39"/>
    <mergeCell ref="B40:K40"/>
    <mergeCell ref="K57:K58"/>
    <mergeCell ref="B59:K59"/>
    <mergeCell ref="B22:B26"/>
    <mergeCell ref="C22:D22"/>
    <mergeCell ref="C23:D23"/>
    <mergeCell ref="C24:D24"/>
    <mergeCell ref="C26:D26"/>
    <mergeCell ref="B19:B20"/>
    <mergeCell ref="B60:B65"/>
    <mergeCell ref="C60:D60"/>
    <mergeCell ref="C19:D20"/>
    <mergeCell ref="E19:E20"/>
    <mergeCell ref="K77:K78"/>
    <mergeCell ref="M57:Y57"/>
    <mergeCell ref="M58:Y58"/>
    <mergeCell ref="M38:Y38"/>
    <mergeCell ref="M39:Y39"/>
    <mergeCell ref="M19:Y19"/>
    <mergeCell ref="M20:Y20"/>
    <mergeCell ref="M77:Y77"/>
    <mergeCell ref="M78:Y78"/>
    <mergeCell ref="F19:H19"/>
    <mergeCell ref="I19:I20"/>
    <mergeCell ref="J19:J20"/>
    <mergeCell ref="F77:H77"/>
    <mergeCell ref="I77:I78"/>
    <mergeCell ref="F57:H57"/>
    <mergeCell ref="E38:E39"/>
    <mergeCell ref="F38:H38"/>
    <mergeCell ref="I38:I39"/>
    <mergeCell ref="J38:J39"/>
    <mergeCell ref="J57:J58"/>
    <mergeCell ref="C46:D46"/>
    <mergeCell ref="C55:D55"/>
    <mergeCell ref="J77:J78"/>
    <mergeCell ref="I57:I58"/>
    <mergeCell ref="C53:D53"/>
    <mergeCell ref="C38:D39"/>
    <mergeCell ref="C61:D61"/>
    <mergeCell ref="C62:D62"/>
    <mergeCell ref="C64:D64"/>
    <mergeCell ref="C63:D63"/>
    <mergeCell ref="C43:D43"/>
    <mergeCell ref="C45:D45"/>
    <mergeCell ref="C77:D78"/>
    <mergeCell ref="M195:Y195"/>
    <mergeCell ref="M196:Y196"/>
    <mergeCell ref="M157:Y157"/>
    <mergeCell ref="M158:Y158"/>
    <mergeCell ref="M176:Y176"/>
    <mergeCell ref="M177:Y177"/>
    <mergeCell ref="M117:Y117"/>
    <mergeCell ref="M118:Y118"/>
    <mergeCell ref="M98:Y98"/>
    <mergeCell ref="M99:Y99"/>
    <mergeCell ref="M194:Y194"/>
    <mergeCell ref="M175:Y175"/>
    <mergeCell ref="M156:Y156"/>
    <mergeCell ref="M136:Y136"/>
    <mergeCell ref="M137:Y137"/>
    <mergeCell ref="M138:Y138"/>
    <mergeCell ref="G8:J8"/>
    <mergeCell ref="B12:J12"/>
    <mergeCell ref="B13:J13"/>
    <mergeCell ref="B14:J14"/>
    <mergeCell ref="B15:J15"/>
    <mergeCell ref="B1:J1"/>
    <mergeCell ref="B2:J2"/>
    <mergeCell ref="B3:J3"/>
    <mergeCell ref="H5:J5"/>
    <mergeCell ref="G6:J6"/>
    <mergeCell ref="G7:J7"/>
    <mergeCell ref="E77:E78"/>
    <mergeCell ref="E98:E99"/>
    <mergeCell ref="C94:D94"/>
    <mergeCell ref="E117:E118"/>
    <mergeCell ref="C179:D179"/>
    <mergeCell ref="B179:B183"/>
    <mergeCell ref="E57:E58"/>
    <mergeCell ref="C80:D80"/>
    <mergeCell ref="C153:D153"/>
    <mergeCell ref="B137:B138"/>
    <mergeCell ref="C125:D125"/>
    <mergeCell ref="B140:B145"/>
    <mergeCell ref="C140:D140"/>
    <mergeCell ref="C66:D66"/>
    <mergeCell ref="C73:D73"/>
    <mergeCell ref="B117:B118"/>
    <mergeCell ref="C117:D118"/>
    <mergeCell ref="B175:K175"/>
    <mergeCell ref="C182:D182"/>
    <mergeCell ref="F98:H98"/>
    <mergeCell ref="I98:I99"/>
    <mergeCell ref="J98:J99"/>
    <mergeCell ref="C126:D126"/>
    <mergeCell ref="C127:D127"/>
    <mergeCell ref="E176:E177"/>
    <mergeCell ref="K176:K177"/>
    <mergeCell ref="J176:J177"/>
    <mergeCell ref="F176:H176"/>
    <mergeCell ref="I176:I177"/>
    <mergeCell ref="B195:B196"/>
    <mergeCell ref="C195:D196"/>
    <mergeCell ref="B176:B177"/>
    <mergeCell ref="C176:D177"/>
    <mergeCell ref="B178:K178"/>
    <mergeCell ref="B194:K194"/>
    <mergeCell ref="C181:D181"/>
    <mergeCell ref="C183:D183"/>
    <mergeCell ref="K195:K196"/>
    <mergeCell ref="E195:E196"/>
    <mergeCell ref="C184:D184"/>
    <mergeCell ref="J195:J196"/>
    <mergeCell ref="C180:D180"/>
    <mergeCell ref="B185:B190"/>
    <mergeCell ref="C185:D185"/>
    <mergeCell ref="C186:D186"/>
    <mergeCell ref="C187:D187"/>
    <mergeCell ref="C188:D188"/>
    <mergeCell ref="C189:D189"/>
    <mergeCell ref="B221:I221"/>
    <mergeCell ref="B222:I222"/>
    <mergeCell ref="C203:D203"/>
    <mergeCell ref="C213:D213"/>
    <mergeCell ref="B214:I216"/>
    <mergeCell ref="B217:I217"/>
    <mergeCell ref="B219:I219"/>
    <mergeCell ref="B220:I220"/>
    <mergeCell ref="B198:B202"/>
    <mergeCell ref="C198:D198"/>
    <mergeCell ref="C201:D201"/>
    <mergeCell ref="C202:D202"/>
    <mergeCell ref="C211:D211"/>
    <mergeCell ref="B136:K136"/>
    <mergeCell ref="B139:K139"/>
    <mergeCell ref="K137:K138"/>
    <mergeCell ref="C145:D145"/>
    <mergeCell ref="M18:Y18"/>
    <mergeCell ref="M37:Y37"/>
    <mergeCell ref="M56:Y56"/>
    <mergeCell ref="M76:Y76"/>
    <mergeCell ref="M97:Y97"/>
    <mergeCell ref="M116:Y116"/>
    <mergeCell ref="C106:D106"/>
    <mergeCell ref="B119:K119"/>
    <mergeCell ref="B120:B124"/>
    <mergeCell ref="C120:D120"/>
    <mergeCell ref="J117:J118"/>
    <mergeCell ref="B100:K100"/>
    <mergeCell ref="K117:K118"/>
    <mergeCell ref="C65:D65"/>
    <mergeCell ref="C86:D86"/>
    <mergeCell ref="B77:B78"/>
    <mergeCell ref="B80:B85"/>
    <mergeCell ref="C44:D44"/>
    <mergeCell ref="B57:B58"/>
    <mergeCell ref="C57:D58"/>
    <mergeCell ref="C160:D160"/>
    <mergeCell ref="C163:D163"/>
    <mergeCell ref="C162:D162"/>
    <mergeCell ref="C164:D164"/>
    <mergeCell ref="B166:B171"/>
    <mergeCell ref="C166:D166"/>
    <mergeCell ref="C167:D167"/>
    <mergeCell ref="C168:D168"/>
    <mergeCell ref="C169:D169"/>
    <mergeCell ref="C170:D170"/>
    <mergeCell ref="C171:D171"/>
    <mergeCell ref="C172:D172"/>
    <mergeCell ref="C133:D133"/>
    <mergeCell ref="C157:D158"/>
    <mergeCell ref="C165:D165"/>
    <mergeCell ref="C161:D161"/>
    <mergeCell ref="B159:K159"/>
    <mergeCell ref="C122:D122"/>
    <mergeCell ref="C121:D121"/>
    <mergeCell ref="J157:J158"/>
    <mergeCell ref="C124:D124"/>
    <mergeCell ref="C123:D123"/>
    <mergeCell ref="B157:B158"/>
    <mergeCell ref="C143:D143"/>
    <mergeCell ref="I137:I138"/>
    <mergeCell ref="J137:J138"/>
    <mergeCell ref="C137:D138"/>
    <mergeCell ref="E137:E138"/>
    <mergeCell ref="C146:D146"/>
    <mergeCell ref="F137:H137"/>
    <mergeCell ref="F157:H157"/>
    <mergeCell ref="I157:I158"/>
    <mergeCell ref="E157:E158"/>
    <mergeCell ref="B160:B164"/>
    <mergeCell ref="K157:K158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8" manualBreakCount="8">
    <brk id="16" max="16383" man="1"/>
    <brk id="54" max="16383" man="1"/>
    <brk id="74" max="16383" man="1"/>
    <brk id="154" max="16383" man="1"/>
    <brk id="173" max="16383" man="1"/>
    <brk id="192" max="16383" man="1"/>
    <brk id="212" max="23" man="1"/>
    <brk id="232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7" workbookViewId="0">
      <selection activeCell="B27" sqref="B27"/>
    </sheetView>
  </sheetViews>
  <sheetFormatPr defaultRowHeight="14.4" x14ac:dyDescent="0.3"/>
  <cols>
    <col min="1" max="1" width="34.33203125" customWidth="1"/>
    <col min="2" max="2" width="33.5546875" customWidth="1"/>
    <col min="3" max="3" width="36.44140625" customWidth="1"/>
    <col min="4" max="4" width="30.44140625" customWidth="1"/>
    <col min="5" max="5" width="34.33203125" customWidth="1"/>
  </cols>
  <sheetData>
    <row r="1" spans="1:5" ht="18" x14ac:dyDescent="0.35">
      <c r="A1" s="78" t="s">
        <v>88</v>
      </c>
      <c r="B1" s="78" t="s">
        <v>76</v>
      </c>
      <c r="C1" s="78" t="s">
        <v>89</v>
      </c>
      <c r="D1" s="78" t="s">
        <v>77</v>
      </c>
      <c r="E1" s="78" t="s">
        <v>104</v>
      </c>
    </row>
    <row r="2" spans="1:5" ht="18" x14ac:dyDescent="0.35">
      <c r="A2" s="79" t="s">
        <v>4</v>
      </c>
      <c r="B2" s="79" t="s">
        <v>4</v>
      </c>
      <c r="C2" s="79" t="s">
        <v>4</v>
      </c>
      <c r="D2" s="79" t="s">
        <v>4</v>
      </c>
      <c r="E2" s="79" t="s">
        <v>4</v>
      </c>
    </row>
    <row r="3" spans="1:5" ht="15.6" x14ac:dyDescent="0.3">
      <c r="A3" s="81" t="s">
        <v>109</v>
      </c>
      <c r="B3" s="81" t="s">
        <v>36</v>
      </c>
      <c r="C3" s="81" t="s">
        <v>123</v>
      </c>
      <c r="D3" s="81" t="s">
        <v>70</v>
      </c>
      <c r="E3" s="81" t="s">
        <v>14</v>
      </c>
    </row>
    <row r="4" spans="1:5" ht="15.6" x14ac:dyDescent="0.3">
      <c r="A4" s="81" t="s">
        <v>25</v>
      </c>
      <c r="B4" s="81" t="s">
        <v>25</v>
      </c>
      <c r="C4" s="81" t="s">
        <v>122</v>
      </c>
      <c r="D4" s="81" t="s">
        <v>56</v>
      </c>
      <c r="E4" s="81" t="s">
        <v>25</v>
      </c>
    </row>
    <row r="5" spans="1:5" ht="15.6" x14ac:dyDescent="0.3">
      <c r="A5" s="81" t="s">
        <v>110</v>
      </c>
      <c r="B5" s="81" t="s">
        <v>114</v>
      </c>
      <c r="C5" s="81" t="s">
        <v>114</v>
      </c>
      <c r="D5" s="81" t="s">
        <v>114</v>
      </c>
      <c r="E5" s="81" t="s">
        <v>122</v>
      </c>
    </row>
    <row r="6" spans="1:5" ht="15.6" x14ac:dyDescent="0.3">
      <c r="A6" s="81" t="s">
        <v>111</v>
      </c>
      <c r="B6" s="81" t="s">
        <v>118</v>
      </c>
      <c r="C6" s="81" t="s">
        <v>118</v>
      </c>
      <c r="D6" s="81" t="s">
        <v>118</v>
      </c>
      <c r="E6" s="81" t="s">
        <v>114</v>
      </c>
    </row>
    <row r="7" spans="1:5" ht="15.6" x14ac:dyDescent="0.3">
      <c r="A7" s="81" t="s">
        <v>115</v>
      </c>
      <c r="B7" s="81" t="s">
        <v>12</v>
      </c>
      <c r="C7" s="81" t="s">
        <v>124</v>
      </c>
      <c r="D7" s="81" t="s">
        <v>124</v>
      </c>
      <c r="E7" s="81" t="s">
        <v>129</v>
      </c>
    </row>
    <row r="8" spans="1:5" ht="15.6" x14ac:dyDescent="0.3">
      <c r="A8" s="81" t="s">
        <v>112</v>
      </c>
      <c r="B8" s="81" t="s">
        <v>117</v>
      </c>
      <c r="C8" s="81" t="s">
        <v>91</v>
      </c>
      <c r="D8" s="81"/>
      <c r="E8" s="81" t="s">
        <v>66</v>
      </c>
    </row>
    <row r="9" spans="1:5" ht="18" x14ac:dyDescent="0.35">
      <c r="A9" s="79" t="s">
        <v>9</v>
      </c>
      <c r="B9" s="79" t="s">
        <v>9</v>
      </c>
      <c r="C9" s="79" t="s">
        <v>9</v>
      </c>
      <c r="D9" s="79" t="s">
        <v>9</v>
      </c>
      <c r="E9" s="79" t="s">
        <v>9</v>
      </c>
    </row>
    <row r="10" spans="1:5" ht="31.2" x14ac:dyDescent="0.3">
      <c r="A10" s="81" t="s">
        <v>72</v>
      </c>
      <c r="B10" s="81" t="s">
        <v>119</v>
      </c>
      <c r="C10" s="81" t="s">
        <v>125</v>
      </c>
      <c r="D10" s="81" t="s">
        <v>130</v>
      </c>
      <c r="E10" s="83" t="s">
        <v>133</v>
      </c>
    </row>
    <row r="11" spans="1:5" ht="31.2" x14ac:dyDescent="0.3">
      <c r="A11" s="81" t="s">
        <v>113</v>
      </c>
      <c r="B11" s="81" t="s">
        <v>34</v>
      </c>
      <c r="C11" s="81" t="s">
        <v>126</v>
      </c>
      <c r="D11" s="81" t="s">
        <v>131</v>
      </c>
      <c r="E11" s="83" t="s">
        <v>27</v>
      </c>
    </row>
    <row r="12" spans="1:5" ht="15.6" x14ac:dyDescent="0.3">
      <c r="A12" s="81" t="s">
        <v>114</v>
      </c>
      <c r="B12" s="81" t="s">
        <v>120</v>
      </c>
      <c r="C12" s="81" t="s">
        <v>30</v>
      </c>
      <c r="D12" s="81" t="s">
        <v>31</v>
      </c>
      <c r="E12" s="81" t="s">
        <v>114</v>
      </c>
    </row>
    <row r="13" spans="1:5" ht="15.6" x14ac:dyDescent="0.3">
      <c r="A13" s="81" t="s">
        <v>111</v>
      </c>
      <c r="B13" s="81" t="s">
        <v>114</v>
      </c>
      <c r="C13" s="81" t="s">
        <v>127</v>
      </c>
      <c r="D13" s="81" t="s">
        <v>132</v>
      </c>
      <c r="E13" s="81" t="s">
        <v>118</v>
      </c>
    </row>
    <row r="14" spans="1:5" ht="15.6" x14ac:dyDescent="0.3">
      <c r="A14" s="81" t="s">
        <v>116</v>
      </c>
      <c r="B14" s="81" t="s">
        <v>111</v>
      </c>
      <c r="C14" s="81" t="s">
        <v>114</v>
      </c>
      <c r="D14" s="81" t="s">
        <v>114</v>
      </c>
      <c r="E14" s="81" t="s">
        <v>12</v>
      </c>
    </row>
    <row r="15" spans="1:5" ht="15.6" x14ac:dyDescent="0.3">
      <c r="A15" s="81" t="s">
        <v>117</v>
      </c>
      <c r="B15" s="81" t="s">
        <v>121</v>
      </c>
      <c r="C15" s="81" t="s">
        <v>118</v>
      </c>
      <c r="D15" s="81" t="s">
        <v>118</v>
      </c>
      <c r="E15" s="81" t="s">
        <v>117</v>
      </c>
    </row>
    <row r="16" spans="1:5" ht="15.6" x14ac:dyDescent="0.3">
      <c r="A16" s="81"/>
      <c r="B16" s="81"/>
      <c r="C16" s="81" t="s">
        <v>128</v>
      </c>
      <c r="D16" s="81" t="s">
        <v>115</v>
      </c>
      <c r="E16" s="81"/>
    </row>
    <row r="17" spans="1:6" s="76" customFormat="1" ht="15.6" x14ac:dyDescent="0.3">
      <c r="A17" s="82"/>
      <c r="B17" s="82"/>
      <c r="C17" s="82"/>
      <c r="D17" s="82"/>
      <c r="E17" s="82"/>
    </row>
    <row r="18" spans="1:6" s="76" customFormat="1" ht="18" x14ac:dyDescent="0.35">
      <c r="A18" s="78" t="s">
        <v>93</v>
      </c>
      <c r="B18" s="78" t="s">
        <v>79</v>
      </c>
      <c r="C18" s="78" t="s">
        <v>83</v>
      </c>
      <c r="D18" s="78" t="s">
        <v>84</v>
      </c>
      <c r="E18" s="78" t="s">
        <v>87</v>
      </c>
    </row>
    <row r="19" spans="1:6" ht="18" x14ac:dyDescent="0.35">
      <c r="A19" s="79" t="s">
        <v>4</v>
      </c>
      <c r="B19" s="79" t="s">
        <v>4</v>
      </c>
      <c r="C19" s="79" t="s">
        <v>4</v>
      </c>
      <c r="D19" s="79" t="s">
        <v>4</v>
      </c>
      <c r="E19" s="80" t="s">
        <v>4</v>
      </c>
      <c r="F19" s="77"/>
    </row>
    <row r="20" spans="1:6" ht="15.6" x14ac:dyDescent="0.3">
      <c r="A20" s="81" t="s">
        <v>134</v>
      </c>
      <c r="B20" s="81" t="s">
        <v>135</v>
      </c>
      <c r="C20" s="81" t="s">
        <v>137</v>
      </c>
      <c r="D20" s="81" t="s">
        <v>95</v>
      </c>
      <c r="E20" s="81" t="s">
        <v>139</v>
      </c>
    </row>
    <row r="21" spans="1:6" ht="15.6" x14ac:dyDescent="0.3">
      <c r="A21" s="81" t="s">
        <v>122</v>
      </c>
      <c r="B21" s="81" t="s">
        <v>56</v>
      </c>
      <c r="C21" s="81" t="s">
        <v>52</v>
      </c>
      <c r="D21" s="81" t="s">
        <v>115</v>
      </c>
      <c r="E21" s="81" t="s">
        <v>114</v>
      </c>
    </row>
    <row r="22" spans="1:6" ht="15.6" x14ac:dyDescent="0.3">
      <c r="A22" s="81" t="s">
        <v>114</v>
      </c>
      <c r="B22" s="81" t="s">
        <v>114</v>
      </c>
      <c r="C22" s="81" t="s">
        <v>129</v>
      </c>
      <c r="D22" s="81" t="s">
        <v>117</v>
      </c>
      <c r="E22" s="81" t="s">
        <v>118</v>
      </c>
    </row>
    <row r="23" spans="1:6" ht="15.6" x14ac:dyDescent="0.3">
      <c r="A23" s="81" t="s">
        <v>118</v>
      </c>
      <c r="B23" s="81" t="s">
        <v>118</v>
      </c>
      <c r="C23" s="81" t="s">
        <v>138</v>
      </c>
      <c r="D23" s="81"/>
      <c r="E23" s="81" t="s">
        <v>12</v>
      </c>
    </row>
    <row r="24" spans="1:6" ht="15.6" x14ac:dyDescent="0.3">
      <c r="A24" s="81" t="s">
        <v>124</v>
      </c>
      <c r="B24" s="81" t="s">
        <v>12</v>
      </c>
      <c r="C24" s="81"/>
      <c r="D24" s="81"/>
      <c r="E24" s="81" t="s">
        <v>140</v>
      </c>
    </row>
    <row r="25" spans="1:6" ht="15.6" x14ac:dyDescent="0.3">
      <c r="A25" s="81" t="s">
        <v>117</v>
      </c>
      <c r="B25" s="81" t="s">
        <v>136</v>
      </c>
      <c r="C25" s="81"/>
      <c r="D25" s="81"/>
      <c r="E25" s="81"/>
    </row>
    <row r="26" spans="1:6" ht="18" x14ac:dyDescent="0.35">
      <c r="A26" s="79" t="s">
        <v>9</v>
      </c>
      <c r="B26" s="79" t="s">
        <v>9</v>
      </c>
      <c r="C26" s="79" t="s">
        <v>9</v>
      </c>
      <c r="D26" s="79" t="s">
        <v>9</v>
      </c>
      <c r="E26" s="79" t="s">
        <v>9</v>
      </c>
    </row>
    <row r="27" spans="1:6" ht="31.2" x14ac:dyDescent="0.3">
      <c r="A27" s="81" t="s">
        <v>30</v>
      </c>
      <c r="B27" s="83" t="s">
        <v>80</v>
      </c>
      <c r="C27" s="81" t="s">
        <v>58</v>
      </c>
      <c r="D27" s="81" t="s">
        <v>85</v>
      </c>
      <c r="E27" s="81" t="s">
        <v>55</v>
      </c>
    </row>
    <row r="28" spans="1:6" ht="15.6" x14ac:dyDescent="0.3">
      <c r="A28" s="81" t="s">
        <v>49</v>
      </c>
      <c r="B28" s="81" t="s">
        <v>81</v>
      </c>
      <c r="C28" s="81" t="s">
        <v>53</v>
      </c>
      <c r="D28" s="81" t="s">
        <v>20</v>
      </c>
      <c r="E28" s="81" t="s">
        <v>131</v>
      </c>
    </row>
    <row r="29" spans="1:6" ht="15.6" x14ac:dyDescent="0.3">
      <c r="A29" s="81" t="s">
        <v>110</v>
      </c>
      <c r="B29" s="81" t="s">
        <v>114</v>
      </c>
      <c r="C29" s="81" t="s">
        <v>34</v>
      </c>
      <c r="D29" s="81" t="s">
        <v>86</v>
      </c>
      <c r="E29" s="81" t="s">
        <v>49</v>
      </c>
    </row>
    <row r="30" spans="1:6" ht="15.6" x14ac:dyDescent="0.3">
      <c r="A30" s="81" t="s">
        <v>118</v>
      </c>
      <c r="B30" s="81" t="s">
        <v>118</v>
      </c>
      <c r="C30" s="81" t="s">
        <v>67</v>
      </c>
      <c r="D30" s="81" t="s">
        <v>114</v>
      </c>
      <c r="E30" s="81" t="s">
        <v>110</v>
      </c>
    </row>
    <row r="31" spans="1:6" ht="15.6" x14ac:dyDescent="0.3">
      <c r="A31" s="81" t="s">
        <v>78</v>
      </c>
      <c r="B31" s="81" t="s">
        <v>59</v>
      </c>
      <c r="C31" s="81" t="s">
        <v>132</v>
      </c>
      <c r="D31" s="81" t="s">
        <v>118</v>
      </c>
      <c r="E31" s="81" t="s">
        <v>118</v>
      </c>
    </row>
    <row r="32" spans="1:6" ht="15.6" x14ac:dyDescent="0.3">
      <c r="A32" s="81" t="s">
        <v>66</v>
      </c>
      <c r="B32" s="81"/>
      <c r="C32" s="81" t="s">
        <v>114</v>
      </c>
      <c r="D32" s="81" t="s">
        <v>115</v>
      </c>
      <c r="E32" s="81" t="s">
        <v>115</v>
      </c>
    </row>
    <row r="33" spans="1:5" ht="15.6" x14ac:dyDescent="0.3">
      <c r="A33" s="81"/>
      <c r="B33" s="81"/>
      <c r="C33" s="81" t="s">
        <v>118</v>
      </c>
      <c r="D33" s="81"/>
      <c r="E33" s="81"/>
    </row>
    <row r="34" spans="1:5" ht="15.6" x14ac:dyDescent="0.3">
      <c r="A34" s="81"/>
      <c r="B34" s="81"/>
      <c r="C34" s="81" t="s">
        <v>124</v>
      </c>
      <c r="D34" s="81"/>
      <c r="E34" s="81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1-4 кл</vt:lpstr>
      <vt:lpstr>5-11 кл</vt:lpstr>
      <vt:lpstr>ОВЗ и Д-И 7-10</vt:lpstr>
      <vt:lpstr>ОВЗ и Д-И 12-18</vt:lpstr>
      <vt:lpstr>Лист1</vt:lpstr>
      <vt:lpstr>Лист2</vt:lpstr>
      <vt:lpstr>Лист3</vt:lpstr>
      <vt:lpstr>Лист4</vt:lpstr>
      <vt:lpstr>'1-4 кл'!Область_печати</vt:lpstr>
      <vt:lpstr>'5-11 кл'!Область_печати</vt:lpstr>
      <vt:lpstr>'ОВЗ и Д-И 12-18'!Область_печати</vt:lpstr>
      <vt:lpstr>'ОВЗ и Д-И 7-10'!Область_печати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2025-02-03T02:37:04Z</cp:lastPrinted>
  <dcterms:created xsi:type="dcterms:W3CDTF">2023-07-31T02:03:00Z</dcterms:created>
  <dcterms:modified xsi:type="dcterms:W3CDTF">2025-02-05T03:11:05Z</dcterms:modified>
</cp:coreProperties>
</file>