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3256" windowHeight="12576" activeTab="3"/>
  </bookViews>
  <sheets>
    <sheet name="1-4 кл" sheetId="4" r:id="rId1"/>
    <sheet name="5-11 кл" sheetId="13" r:id="rId2"/>
    <sheet name="ОВЗ и Д-И 7-10" sheetId="2" r:id="rId3"/>
    <sheet name="ОВЗ и Д-И 12-18" sheetId="14" r:id="rId4"/>
    <sheet name="Лист1" sheetId="9" r:id="rId5"/>
    <sheet name="Лист2" sheetId="10" r:id="rId6"/>
    <sheet name="Лист3" sheetId="11" r:id="rId7"/>
    <sheet name="Лист4" sheetId="12" r:id="rId8"/>
  </sheets>
  <definedNames>
    <definedName name="_xlnm.Print_Area" localSheetId="0">'1-4 кл'!$A$1:$J$144</definedName>
    <definedName name="_xlnm.Print_Area" localSheetId="1">'5-11 кл'!$A$1:$J$144</definedName>
    <definedName name="_xlnm.Print_Area" localSheetId="3">'ОВЗ и Д-И 12-18'!$A$16:$J$243</definedName>
    <definedName name="_xlnm.Print_Area" localSheetId="2">'ОВЗ и Д-И 7-10'!$A$16:$J$172</definedName>
  </definedNames>
  <calcPr calcId="144525"/>
</workbook>
</file>

<file path=xl/calcChain.xml><?xml version="1.0" encoding="utf-8"?>
<calcChain xmlns="http://schemas.openxmlformats.org/spreadsheetml/2006/main">
  <c r="G142" i="4" l="1"/>
  <c r="H142" i="4"/>
  <c r="I142" i="4"/>
  <c r="F142" i="4"/>
  <c r="G141" i="4"/>
  <c r="H141" i="4"/>
  <c r="I141" i="4"/>
  <c r="F141" i="4"/>
  <c r="G129" i="4"/>
  <c r="H129" i="4"/>
  <c r="I129" i="4"/>
  <c r="F129" i="4"/>
  <c r="G128" i="4"/>
  <c r="H128" i="4"/>
  <c r="I128" i="4"/>
  <c r="F128" i="4"/>
  <c r="G117" i="4"/>
  <c r="H117" i="4"/>
  <c r="I117" i="4"/>
  <c r="F117" i="4"/>
  <c r="G116" i="4"/>
  <c r="H116" i="4"/>
  <c r="I116" i="4"/>
  <c r="F116" i="4"/>
  <c r="G104" i="4"/>
  <c r="H104" i="4"/>
  <c r="I104" i="4"/>
  <c r="F104" i="4"/>
  <c r="G103" i="4"/>
  <c r="H103" i="4"/>
  <c r="I103" i="4"/>
  <c r="F103" i="4"/>
  <c r="G90" i="4"/>
  <c r="H90" i="4"/>
  <c r="I90" i="4"/>
  <c r="F90" i="4"/>
  <c r="G89" i="4"/>
  <c r="H89" i="4"/>
  <c r="I89" i="4"/>
  <c r="F89" i="4"/>
  <c r="G76" i="4"/>
  <c r="H76" i="4"/>
  <c r="I76" i="4"/>
  <c r="F76" i="4"/>
  <c r="G75" i="4"/>
  <c r="H75" i="4"/>
  <c r="I75" i="4"/>
  <c r="F75" i="4"/>
  <c r="G64" i="4"/>
  <c r="H64" i="4"/>
  <c r="I64" i="4"/>
  <c r="F64" i="4"/>
  <c r="G63" i="4"/>
  <c r="H63" i="4"/>
  <c r="I63" i="4"/>
  <c r="F63" i="4"/>
  <c r="G52" i="4"/>
  <c r="H52" i="4"/>
  <c r="I52" i="4"/>
  <c r="F52" i="4"/>
  <c r="G51" i="4"/>
  <c r="H51" i="4"/>
  <c r="I51" i="4"/>
  <c r="F51" i="4"/>
  <c r="G39" i="4"/>
  <c r="H39" i="4"/>
  <c r="I39" i="4"/>
  <c r="F39" i="4"/>
  <c r="G38" i="4"/>
  <c r="H38" i="4"/>
  <c r="I38" i="4"/>
  <c r="F38" i="4"/>
  <c r="G25" i="4"/>
  <c r="H25" i="4"/>
  <c r="I25" i="4"/>
  <c r="F25" i="4"/>
  <c r="G24" i="4"/>
  <c r="H24" i="4"/>
  <c r="I24" i="4"/>
  <c r="F24" i="4"/>
  <c r="E145" i="13" l="1"/>
  <c r="G130" i="13"/>
  <c r="H130" i="13"/>
  <c r="I130" i="13"/>
  <c r="F130" i="13"/>
  <c r="G129" i="13"/>
  <c r="H129" i="13"/>
  <c r="I129" i="13"/>
  <c r="F129" i="13"/>
  <c r="G118" i="13"/>
  <c r="H118" i="13"/>
  <c r="I118" i="13"/>
  <c r="F118" i="13"/>
  <c r="G117" i="13"/>
  <c r="H117" i="13"/>
  <c r="I117" i="13"/>
  <c r="F117" i="13"/>
  <c r="G105" i="13"/>
  <c r="H105" i="13"/>
  <c r="I105" i="13"/>
  <c r="F105" i="13"/>
  <c r="G104" i="13"/>
  <c r="H104" i="13"/>
  <c r="I104" i="13"/>
  <c r="F104" i="13"/>
  <c r="G91" i="13"/>
  <c r="H91" i="13"/>
  <c r="I91" i="13"/>
  <c r="F91" i="13"/>
  <c r="G90" i="13"/>
  <c r="H90" i="13"/>
  <c r="I90" i="13"/>
  <c r="F90" i="13"/>
  <c r="G77" i="13"/>
  <c r="H77" i="13"/>
  <c r="I77" i="13"/>
  <c r="F77" i="13"/>
  <c r="G76" i="13"/>
  <c r="H76" i="13"/>
  <c r="I76" i="13"/>
  <c r="F76" i="13"/>
  <c r="G65" i="13"/>
  <c r="H65" i="13"/>
  <c r="I65" i="13"/>
  <c r="F65" i="13"/>
  <c r="G52" i="13"/>
  <c r="H52" i="13"/>
  <c r="I52" i="13"/>
  <c r="F52" i="13"/>
  <c r="G39" i="13"/>
  <c r="H39" i="13"/>
  <c r="I39" i="13"/>
  <c r="F39" i="13"/>
  <c r="G25" i="13"/>
  <c r="H25" i="13"/>
  <c r="I25" i="13"/>
  <c r="F25" i="13"/>
  <c r="G24" i="13"/>
  <c r="H24" i="13"/>
  <c r="I24" i="13"/>
  <c r="F24" i="13"/>
  <c r="E145" i="4" l="1"/>
  <c r="E206" i="14" l="1"/>
  <c r="N204" i="14"/>
  <c r="O204" i="14"/>
  <c r="P204" i="14"/>
  <c r="Q204" i="14"/>
  <c r="R204" i="14"/>
  <c r="S204" i="14"/>
  <c r="T204" i="14"/>
  <c r="U204" i="14"/>
  <c r="V204" i="14"/>
  <c r="W204" i="14"/>
  <c r="X204" i="14"/>
  <c r="Y204" i="14"/>
  <c r="M204" i="14"/>
  <c r="G204" i="14"/>
  <c r="H204" i="14"/>
  <c r="I204" i="14"/>
  <c r="F204" i="14"/>
  <c r="N203" i="14"/>
  <c r="N206" i="14" s="1"/>
  <c r="O203" i="14"/>
  <c r="O206" i="14" s="1"/>
  <c r="P203" i="14"/>
  <c r="P206" i="14" s="1"/>
  <c r="Q203" i="14"/>
  <c r="Q206" i="14" s="1"/>
  <c r="R203" i="14"/>
  <c r="R206" i="14" s="1"/>
  <c r="S203" i="14"/>
  <c r="S206" i="14" s="1"/>
  <c r="T203" i="14"/>
  <c r="T206" i="14" s="1"/>
  <c r="U203" i="14"/>
  <c r="U206" i="14" s="1"/>
  <c r="V203" i="14"/>
  <c r="V206" i="14" s="1"/>
  <c r="W203" i="14"/>
  <c r="W206" i="14" s="1"/>
  <c r="X203" i="14"/>
  <c r="X206" i="14" s="1"/>
  <c r="Y203" i="14"/>
  <c r="Y206" i="14" s="1"/>
  <c r="M203" i="14"/>
  <c r="M206" i="14" s="1"/>
  <c r="G203" i="14"/>
  <c r="G206" i="14" s="1"/>
  <c r="H203" i="14"/>
  <c r="H206" i="14" s="1"/>
  <c r="I203" i="14"/>
  <c r="F203" i="14"/>
  <c r="F206" i="14" s="1"/>
  <c r="N196" i="14"/>
  <c r="O196" i="14"/>
  <c r="P196" i="14"/>
  <c r="Q196" i="14"/>
  <c r="R196" i="14"/>
  <c r="S196" i="14"/>
  <c r="T196" i="14"/>
  <c r="U196" i="14"/>
  <c r="V196" i="14"/>
  <c r="W196" i="14"/>
  <c r="X196" i="14"/>
  <c r="Y196" i="14"/>
  <c r="M196" i="14"/>
  <c r="G196" i="14"/>
  <c r="H196" i="14"/>
  <c r="I196" i="14"/>
  <c r="F196" i="14"/>
  <c r="N195" i="14"/>
  <c r="O195" i="14"/>
  <c r="P195" i="14"/>
  <c r="Q195" i="14"/>
  <c r="R195" i="14"/>
  <c r="S195" i="14"/>
  <c r="T195" i="14"/>
  <c r="U195" i="14"/>
  <c r="V195" i="14"/>
  <c r="W195" i="14"/>
  <c r="X195" i="14"/>
  <c r="Y195" i="14"/>
  <c r="M195" i="14"/>
  <c r="G195" i="14"/>
  <c r="H195" i="14"/>
  <c r="I195" i="14"/>
  <c r="F195" i="14"/>
  <c r="E109" i="14"/>
  <c r="N106" i="14"/>
  <c r="O106" i="14"/>
  <c r="P106" i="14"/>
  <c r="Q106" i="14"/>
  <c r="R106" i="14"/>
  <c r="S106" i="14"/>
  <c r="T106" i="14"/>
  <c r="U106" i="14"/>
  <c r="V106" i="14"/>
  <c r="W106" i="14"/>
  <c r="X106" i="14"/>
  <c r="Y106" i="14"/>
  <c r="M106" i="14"/>
  <c r="G106" i="14"/>
  <c r="H106" i="14"/>
  <c r="I106" i="14"/>
  <c r="F106" i="14"/>
  <c r="N105" i="14"/>
  <c r="O105" i="14"/>
  <c r="P105" i="14"/>
  <c r="P109" i="14" s="1"/>
  <c r="Q105" i="14"/>
  <c r="Q109" i="14" s="1"/>
  <c r="R105" i="14"/>
  <c r="S105" i="14"/>
  <c r="T105" i="14"/>
  <c r="T109" i="14" s="1"/>
  <c r="U105" i="14"/>
  <c r="V105" i="14"/>
  <c r="W105" i="14"/>
  <c r="X105" i="14"/>
  <c r="X109" i="14" s="1"/>
  <c r="Y105" i="14"/>
  <c r="Y109" i="14" s="1"/>
  <c r="M105" i="14"/>
  <c r="G105" i="14"/>
  <c r="G109" i="14" s="1"/>
  <c r="H105" i="14"/>
  <c r="H109" i="14" s="1"/>
  <c r="I105" i="14"/>
  <c r="F105" i="14"/>
  <c r="N99" i="14"/>
  <c r="O99" i="14"/>
  <c r="P99" i="14"/>
  <c r="Q99" i="14"/>
  <c r="R99" i="14"/>
  <c r="S99" i="14"/>
  <c r="T99" i="14"/>
  <c r="U99" i="14"/>
  <c r="V99" i="14"/>
  <c r="W99" i="14"/>
  <c r="X99" i="14"/>
  <c r="Y99" i="14"/>
  <c r="M99" i="14"/>
  <c r="G99" i="14"/>
  <c r="H99" i="14"/>
  <c r="I99" i="14"/>
  <c r="F99" i="14"/>
  <c r="N98" i="14"/>
  <c r="O98" i="14"/>
  <c r="P98" i="14"/>
  <c r="Q98" i="14"/>
  <c r="R98" i="14"/>
  <c r="S98" i="14"/>
  <c r="T98" i="14"/>
  <c r="U98" i="14"/>
  <c r="V98" i="14"/>
  <c r="W98" i="14"/>
  <c r="X98" i="14"/>
  <c r="Y98" i="14"/>
  <c r="M98" i="14"/>
  <c r="G98" i="14"/>
  <c r="H98" i="14"/>
  <c r="I98" i="14"/>
  <c r="F98" i="14"/>
  <c r="E90" i="14"/>
  <c r="N88" i="14"/>
  <c r="O88" i="14"/>
  <c r="P88" i="14"/>
  <c r="Q88" i="14"/>
  <c r="R88" i="14"/>
  <c r="S88" i="14"/>
  <c r="T88" i="14"/>
  <c r="U88" i="14"/>
  <c r="V88" i="14"/>
  <c r="W88" i="14"/>
  <c r="X88" i="14"/>
  <c r="Y88" i="14"/>
  <c r="M88" i="14"/>
  <c r="G88" i="14"/>
  <c r="H88" i="14"/>
  <c r="I88" i="14"/>
  <c r="F88" i="14"/>
  <c r="N87" i="14"/>
  <c r="O87" i="14"/>
  <c r="P87" i="14"/>
  <c r="Q87" i="14"/>
  <c r="Q90" i="14" s="1"/>
  <c r="R87" i="14"/>
  <c r="S87" i="14"/>
  <c r="T87" i="14"/>
  <c r="U87" i="14"/>
  <c r="U90" i="14" s="1"/>
  <c r="V87" i="14"/>
  <c r="W87" i="14"/>
  <c r="X87" i="14"/>
  <c r="Y87" i="14"/>
  <c r="Y90" i="14" s="1"/>
  <c r="M87" i="14"/>
  <c r="G87" i="14"/>
  <c r="H87" i="14"/>
  <c r="I87" i="14"/>
  <c r="I90" i="14" s="1"/>
  <c r="F87" i="14"/>
  <c r="N81" i="14"/>
  <c r="O81" i="14"/>
  <c r="P81" i="14"/>
  <c r="Q81" i="14"/>
  <c r="R81" i="14"/>
  <c r="S81" i="14"/>
  <c r="T81" i="14"/>
  <c r="U81" i="14"/>
  <c r="V81" i="14"/>
  <c r="W81" i="14"/>
  <c r="X81" i="14"/>
  <c r="Y81" i="14"/>
  <c r="M81" i="14"/>
  <c r="G81" i="14"/>
  <c r="H81" i="14"/>
  <c r="I81" i="14"/>
  <c r="F81" i="14"/>
  <c r="E72" i="14"/>
  <c r="N70" i="14"/>
  <c r="O70" i="14"/>
  <c r="P70" i="14"/>
  <c r="Q70" i="14"/>
  <c r="R70" i="14"/>
  <c r="S70" i="14"/>
  <c r="T70" i="14"/>
  <c r="U70" i="14"/>
  <c r="V70" i="14"/>
  <c r="W70" i="14"/>
  <c r="X70" i="14"/>
  <c r="Y70" i="14"/>
  <c r="M70" i="14"/>
  <c r="G70" i="14"/>
  <c r="H70" i="14"/>
  <c r="I70" i="14"/>
  <c r="F70" i="14"/>
  <c r="N69" i="14"/>
  <c r="O69" i="14"/>
  <c r="P69" i="14"/>
  <c r="Q69" i="14"/>
  <c r="R69" i="14"/>
  <c r="S69" i="14"/>
  <c r="T69" i="14"/>
  <c r="U69" i="14"/>
  <c r="U72" i="14" s="1"/>
  <c r="V69" i="14"/>
  <c r="W69" i="14"/>
  <c r="X69" i="14"/>
  <c r="Y69" i="14"/>
  <c r="M69" i="14"/>
  <c r="G69" i="14"/>
  <c r="H69" i="14"/>
  <c r="I69" i="14"/>
  <c r="I72" i="14" s="1"/>
  <c r="F69" i="14"/>
  <c r="N62" i="14"/>
  <c r="O62" i="14"/>
  <c r="P62" i="14"/>
  <c r="Q62" i="14"/>
  <c r="R62" i="14"/>
  <c r="S62" i="14"/>
  <c r="T62" i="14"/>
  <c r="U62" i="14"/>
  <c r="V62" i="14"/>
  <c r="W62" i="14"/>
  <c r="X62" i="14"/>
  <c r="Y62" i="14"/>
  <c r="M62" i="14"/>
  <c r="G62" i="14"/>
  <c r="H62" i="14"/>
  <c r="I62" i="14"/>
  <c r="F62" i="14"/>
  <c r="N61" i="14"/>
  <c r="O61" i="14"/>
  <c r="P61" i="14"/>
  <c r="Q61" i="14"/>
  <c r="R61" i="14"/>
  <c r="S61" i="14"/>
  <c r="T61" i="14"/>
  <c r="U61" i="14"/>
  <c r="V61" i="14"/>
  <c r="W61" i="14"/>
  <c r="X61" i="14"/>
  <c r="Y61" i="14"/>
  <c r="M61" i="14"/>
  <c r="G61" i="14"/>
  <c r="H61" i="14"/>
  <c r="I61" i="14"/>
  <c r="F61" i="14"/>
  <c r="E52" i="14"/>
  <c r="N50" i="14"/>
  <c r="O50" i="14"/>
  <c r="P50" i="14"/>
  <c r="Q50" i="14"/>
  <c r="R50" i="14"/>
  <c r="S50" i="14"/>
  <c r="T50" i="14"/>
  <c r="U50" i="14"/>
  <c r="V50" i="14"/>
  <c r="W50" i="14"/>
  <c r="X50" i="14"/>
  <c r="Y50" i="14"/>
  <c r="M50" i="14"/>
  <c r="G50" i="14"/>
  <c r="H50" i="14"/>
  <c r="I50" i="14"/>
  <c r="F50" i="14"/>
  <c r="N49" i="14"/>
  <c r="O49" i="14"/>
  <c r="P49" i="14"/>
  <c r="P52" i="14" s="1"/>
  <c r="Q49" i="14"/>
  <c r="R49" i="14"/>
  <c r="S49" i="14"/>
  <c r="T49" i="14"/>
  <c r="U49" i="14"/>
  <c r="V49" i="14"/>
  <c r="W49" i="14"/>
  <c r="X49" i="14"/>
  <c r="Y49" i="14"/>
  <c r="M49" i="14"/>
  <c r="G49" i="14"/>
  <c r="H49" i="14"/>
  <c r="I49" i="14"/>
  <c r="F49" i="14"/>
  <c r="N42" i="14"/>
  <c r="O42" i="14"/>
  <c r="P42" i="14"/>
  <c r="Q42" i="14"/>
  <c r="R42" i="14"/>
  <c r="S42" i="14"/>
  <c r="T42" i="14"/>
  <c r="U42" i="14"/>
  <c r="V42" i="14"/>
  <c r="W42" i="14"/>
  <c r="X42" i="14"/>
  <c r="Y42" i="14"/>
  <c r="M42" i="14"/>
  <c r="G42" i="14"/>
  <c r="H42" i="14"/>
  <c r="I42" i="14"/>
  <c r="F42" i="14"/>
  <c r="E34" i="14"/>
  <c r="N31" i="14"/>
  <c r="O31" i="14"/>
  <c r="P31" i="14"/>
  <c r="Q31" i="14"/>
  <c r="R31" i="14"/>
  <c r="S31" i="14"/>
  <c r="T31" i="14"/>
  <c r="U31" i="14"/>
  <c r="V31" i="14"/>
  <c r="W31" i="14"/>
  <c r="X31" i="14"/>
  <c r="Y31" i="14"/>
  <c r="M31" i="14"/>
  <c r="G31" i="14"/>
  <c r="H31" i="14"/>
  <c r="I31" i="14"/>
  <c r="F31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M30" i="14"/>
  <c r="G30" i="14"/>
  <c r="H30" i="14"/>
  <c r="I30" i="14"/>
  <c r="F30" i="14"/>
  <c r="N133" i="2"/>
  <c r="O133" i="2"/>
  <c r="P133" i="2"/>
  <c r="Q133" i="2"/>
  <c r="R133" i="2"/>
  <c r="S133" i="2"/>
  <c r="T133" i="2"/>
  <c r="U133" i="2"/>
  <c r="V133" i="2"/>
  <c r="W133" i="2"/>
  <c r="X133" i="2"/>
  <c r="Y133" i="2"/>
  <c r="M133" i="2"/>
  <c r="G133" i="2"/>
  <c r="H133" i="2"/>
  <c r="I133" i="2"/>
  <c r="F133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M132" i="2"/>
  <c r="G132" i="2"/>
  <c r="H132" i="2"/>
  <c r="I132" i="2"/>
  <c r="F132" i="2"/>
  <c r="I206" i="14" l="1"/>
  <c r="W109" i="14"/>
  <c r="O109" i="14"/>
  <c r="S109" i="14"/>
  <c r="I109" i="14"/>
  <c r="U109" i="14"/>
  <c r="F109" i="14"/>
  <c r="N109" i="14"/>
  <c r="X90" i="14"/>
  <c r="F90" i="14"/>
  <c r="V90" i="14"/>
  <c r="N90" i="14"/>
  <c r="M109" i="14"/>
  <c r="R109" i="14"/>
  <c r="M90" i="14"/>
  <c r="R90" i="14"/>
  <c r="V109" i="14"/>
  <c r="W90" i="14"/>
  <c r="X72" i="14"/>
  <c r="P72" i="14"/>
  <c r="H90" i="14"/>
  <c r="T90" i="14"/>
  <c r="P90" i="14"/>
  <c r="O90" i="14"/>
  <c r="G90" i="14"/>
  <c r="S90" i="14"/>
  <c r="F52" i="14"/>
  <c r="G72" i="14"/>
  <c r="S72" i="14"/>
  <c r="O72" i="14"/>
  <c r="T72" i="14"/>
  <c r="W72" i="14"/>
  <c r="Y72" i="14"/>
  <c r="Q72" i="14"/>
  <c r="H72" i="14"/>
  <c r="M52" i="14"/>
  <c r="R52" i="14"/>
  <c r="F72" i="14"/>
  <c r="V72" i="14"/>
  <c r="N72" i="14"/>
  <c r="I52" i="14"/>
  <c r="U52" i="14"/>
  <c r="M72" i="14"/>
  <c r="R72" i="14"/>
  <c r="Y52" i="14"/>
  <c r="Q52" i="14"/>
  <c r="W52" i="14"/>
  <c r="O52" i="14"/>
  <c r="X34" i="14"/>
  <c r="P34" i="14"/>
  <c r="H52" i="14"/>
  <c r="T52" i="14"/>
  <c r="X52" i="14"/>
  <c r="V52" i="14"/>
  <c r="N52" i="14"/>
  <c r="W34" i="14"/>
  <c r="O34" i="14"/>
  <c r="G52" i="14"/>
  <c r="S52" i="14"/>
  <c r="G34" i="14"/>
  <c r="S34" i="14"/>
  <c r="F34" i="14"/>
  <c r="V34" i="14"/>
  <c r="N34" i="14"/>
  <c r="H34" i="14"/>
  <c r="T34" i="14"/>
  <c r="M34" i="14"/>
  <c r="R34" i="14"/>
  <c r="I34" i="14"/>
  <c r="U34" i="14"/>
  <c r="Y34" i="14"/>
  <c r="Q34" i="14"/>
  <c r="N71" i="2" l="1"/>
  <c r="O71" i="2"/>
  <c r="P71" i="2"/>
  <c r="Q71" i="2"/>
  <c r="R71" i="2"/>
  <c r="S71" i="2"/>
  <c r="T71" i="2"/>
  <c r="U71" i="2"/>
  <c r="V71" i="2"/>
  <c r="W71" i="2"/>
  <c r="X71" i="2"/>
  <c r="Y71" i="2"/>
  <c r="M71" i="2"/>
  <c r="G71" i="2"/>
  <c r="H71" i="2"/>
  <c r="I71" i="2"/>
  <c r="F71" i="2"/>
  <c r="N70" i="2"/>
  <c r="O70" i="2"/>
  <c r="P70" i="2"/>
  <c r="Q70" i="2"/>
  <c r="R70" i="2"/>
  <c r="S70" i="2"/>
  <c r="T70" i="2"/>
  <c r="U70" i="2"/>
  <c r="V70" i="2"/>
  <c r="W70" i="2"/>
  <c r="X70" i="2"/>
  <c r="Y70" i="2"/>
  <c r="M70" i="2"/>
  <c r="G70" i="2"/>
  <c r="H70" i="2"/>
  <c r="I70" i="2"/>
  <c r="F70" i="2"/>
  <c r="N60" i="2"/>
  <c r="O60" i="2"/>
  <c r="P60" i="2"/>
  <c r="Q60" i="2"/>
  <c r="R60" i="2"/>
  <c r="S60" i="2"/>
  <c r="T60" i="2"/>
  <c r="U60" i="2"/>
  <c r="V60" i="2"/>
  <c r="W60" i="2"/>
  <c r="X60" i="2"/>
  <c r="Y60" i="2"/>
  <c r="M60" i="2"/>
  <c r="G60" i="2"/>
  <c r="H60" i="2"/>
  <c r="I60" i="2"/>
  <c r="F60" i="2"/>
  <c r="N24" i="2"/>
  <c r="O24" i="2"/>
  <c r="P24" i="2"/>
  <c r="Q24" i="2"/>
  <c r="R24" i="2"/>
  <c r="S24" i="2"/>
  <c r="T24" i="2"/>
  <c r="U24" i="2"/>
  <c r="V24" i="2"/>
  <c r="W24" i="2"/>
  <c r="X24" i="2"/>
  <c r="Y24" i="2"/>
  <c r="M24" i="2"/>
  <c r="G24" i="2"/>
  <c r="H24" i="2"/>
  <c r="I24" i="2"/>
  <c r="F24" i="2"/>
  <c r="N23" i="2"/>
  <c r="O23" i="2"/>
  <c r="P23" i="2"/>
  <c r="Q23" i="2"/>
  <c r="R23" i="2"/>
  <c r="S23" i="2"/>
  <c r="T23" i="2"/>
  <c r="U23" i="2"/>
  <c r="V23" i="2"/>
  <c r="W23" i="2"/>
  <c r="X23" i="2"/>
  <c r="Y23" i="2"/>
  <c r="M23" i="2"/>
  <c r="G23" i="2"/>
  <c r="H23" i="2"/>
  <c r="I23" i="2"/>
  <c r="F23" i="2"/>
  <c r="N142" i="13"/>
  <c r="O142" i="13"/>
  <c r="P142" i="13"/>
  <c r="Q142" i="13"/>
  <c r="R142" i="13"/>
  <c r="S142" i="13"/>
  <c r="T142" i="13"/>
  <c r="U142" i="13"/>
  <c r="V142" i="13"/>
  <c r="W142" i="13"/>
  <c r="X142" i="13"/>
  <c r="Y142" i="13"/>
  <c r="M142" i="13"/>
  <c r="N141" i="13"/>
  <c r="O141" i="13"/>
  <c r="P141" i="13"/>
  <c r="Q141" i="13"/>
  <c r="R141" i="13"/>
  <c r="S141" i="13"/>
  <c r="T141" i="13"/>
  <c r="U141" i="13"/>
  <c r="V141" i="13"/>
  <c r="W141" i="13"/>
  <c r="X141" i="13"/>
  <c r="Y141" i="13"/>
  <c r="M141" i="13"/>
  <c r="Y76" i="13"/>
  <c r="N76" i="13"/>
  <c r="O76" i="13"/>
  <c r="P76" i="13"/>
  <c r="Q76" i="13"/>
  <c r="R76" i="13"/>
  <c r="S76" i="13"/>
  <c r="T76" i="13"/>
  <c r="U76" i="13"/>
  <c r="V76" i="13"/>
  <c r="W76" i="13"/>
  <c r="X76" i="13"/>
  <c r="M76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M65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M64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M52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M51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M24" i="13"/>
  <c r="E186" i="14" l="1"/>
  <c r="N184" i="14"/>
  <c r="O184" i="14"/>
  <c r="P184" i="14"/>
  <c r="Q184" i="14"/>
  <c r="R184" i="14"/>
  <c r="S184" i="14"/>
  <c r="T184" i="14"/>
  <c r="U184" i="14"/>
  <c r="V184" i="14"/>
  <c r="W184" i="14"/>
  <c r="X184" i="14"/>
  <c r="Y184" i="14"/>
  <c r="M184" i="14"/>
  <c r="G184" i="14"/>
  <c r="H184" i="14"/>
  <c r="I184" i="14"/>
  <c r="F184" i="14"/>
  <c r="N183" i="14"/>
  <c r="N186" i="14" s="1"/>
  <c r="O183" i="14"/>
  <c r="O186" i="14" s="1"/>
  <c r="P183" i="14"/>
  <c r="P186" i="14" s="1"/>
  <c r="Q183" i="14"/>
  <c r="Q186" i="14" s="1"/>
  <c r="R183" i="14"/>
  <c r="S183" i="14"/>
  <c r="T183" i="14"/>
  <c r="U183" i="14"/>
  <c r="U186" i="14" s="1"/>
  <c r="V183" i="14"/>
  <c r="V186" i="14" s="1"/>
  <c r="W183" i="14"/>
  <c r="W186" i="14" s="1"/>
  <c r="X183" i="14"/>
  <c r="X186" i="14" s="1"/>
  <c r="Y183" i="14"/>
  <c r="Y186" i="14" s="1"/>
  <c r="M183" i="14"/>
  <c r="G183" i="14"/>
  <c r="H183" i="14"/>
  <c r="I183" i="14"/>
  <c r="I186" i="14" s="1"/>
  <c r="F183" i="14"/>
  <c r="F186" i="14" s="1"/>
  <c r="N177" i="14"/>
  <c r="N180" i="14" s="1"/>
  <c r="O177" i="14"/>
  <c r="O180" i="14" s="1"/>
  <c r="P177" i="14"/>
  <c r="P180" i="14" s="1"/>
  <c r="Q177" i="14"/>
  <c r="Q180" i="14" s="1"/>
  <c r="R177" i="14"/>
  <c r="R180" i="14" s="1"/>
  <c r="S177" i="14"/>
  <c r="S180" i="14" s="1"/>
  <c r="T177" i="14"/>
  <c r="T180" i="14" s="1"/>
  <c r="U177" i="14"/>
  <c r="U180" i="14" s="1"/>
  <c r="V177" i="14"/>
  <c r="V180" i="14" s="1"/>
  <c r="W177" i="14"/>
  <c r="W180" i="14" s="1"/>
  <c r="X177" i="14"/>
  <c r="X180" i="14" s="1"/>
  <c r="Y177" i="14"/>
  <c r="Y180" i="14" s="1"/>
  <c r="M177" i="14"/>
  <c r="G177" i="14"/>
  <c r="G180" i="14" s="1"/>
  <c r="H177" i="14"/>
  <c r="H180" i="14" s="1"/>
  <c r="I177" i="14"/>
  <c r="I180" i="14" s="1"/>
  <c r="F177" i="14"/>
  <c r="F180" i="14" s="1"/>
  <c r="N119" i="2"/>
  <c r="O119" i="2"/>
  <c r="P119" i="2"/>
  <c r="Q119" i="2"/>
  <c r="R119" i="2"/>
  <c r="S119" i="2"/>
  <c r="T119" i="2"/>
  <c r="U119" i="2"/>
  <c r="V119" i="2"/>
  <c r="W119" i="2"/>
  <c r="X119" i="2"/>
  <c r="Y119" i="2"/>
  <c r="M119" i="2"/>
  <c r="G119" i="2"/>
  <c r="H119" i="2"/>
  <c r="I119" i="2"/>
  <c r="F119" i="2"/>
  <c r="N130" i="13"/>
  <c r="O130" i="13"/>
  <c r="P130" i="13"/>
  <c r="Q130" i="13"/>
  <c r="R130" i="13"/>
  <c r="S130" i="13"/>
  <c r="T130" i="13"/>
  <c r="U130" i="13"/>
  <c r="V130" i="13"/>
  <c r="W130" i="13"/>
  <c r="X130" i="13"/>
  <c r="Y130" i="13"/>
  <c r="M130" i="13"/>
  <c r="N129" i="13"/>
  <c r="O129" i="13"/>
  <c r="P129" i="13"/>
  <c r="Q129" i="13"/>
  <c r="Q132" i="13" s="1"/>
  <c r="R129" i="13"/>
  <c r="S129" i="13"/>
  <c r="T129" i="13"/>
  <c r="U129" i="13"/>
  <c r="V129" i="13"/>
  <c r="W129" i="13"/>
  <c r="X129" i="13"/>
  <c r="Y129" i="13"/>
  <c r="Y132" i="13" s="1"/>
  <c r="M129" i="13"/>
  <c r="W132" i="13" l="1"/>
  <c r="O132" i="13"/>
  <c r="G132" i="13"/>
  <c r="S132" i="13"/>
  <c r="M186" i="14"/>
  <c r="R186" i="14"/>
  <c r="H186" i="14"/>
  <c r="G186" i="14"/>
  <c r="S186" i="14"/>
  <c r="T186" i="14"/>
  <c r="F132" i="13"/>
  <c r="V132" i="13"/>
  <c r="N132" i="13"/>
  <c r="U132" i="13"/>
  <c r="I132" i="13"/>
  <c r="H132" i="13"/>
  <c r="T132" i="13"/>
  <c r="M132" i="13"/>
  <c r="R132" i="13"/>
  <c r="X132" i="13"/>
  <c r="P132" i="13"/>
  <c r="N166" i="14" l="1"/>
  <c r="O166" i="14"/>
  <c r="P166" i="14"/>
  <c r="Q166" i="14"/>
  <c r="R166" i="14"/>
  <c r="S166" i="14"/>
  <c r="T166" i="14"/>
  <c r="U166" i="14"/>
  <c r="U168" i="14" s="1"/>
  <c r="V166" i="14"/>
  <c r="W166" i="14"/>
  <c r="X166" i="14"/>
  <c r="Y166" i="14"/>
  <c r="M166" i="14"/>
  <c r="G166" i="14"/>
  <c r="H166" i="14"/>
  <c r="I166" i="14"/>
  <c r="F166" i="14"/>
  <c r="N165" i="14"/>
  <c r="O165" i="14"/>
  <c r="P165" i="14"/>
  <c r="Q165" i="14"/>
  <c r="Q168" i="14" s="1"/>
  <c r="R165" i="14"/>
  <c r="R168" i="14" s="1"/>
  <c r="S165" i="14"/>
  <c r="T165" i="14"/>
  <c r="U165" i="14"/>
  <c r="V165" i="14"/>
  <c r="W165" i="14"/>
  <c r="W168" i="14" s="1"/>
  <c r="X165" i="14"/>
  <c r="Y165" i="14"/>
  <c r="Y168" i="14" s="1"/>
  <c r="M165" i="14"/>
  <c r="G165" i="14"/>
  <c r="H165" i="14"/>
  <c r="I165" i="14"/>
  <c r="F165" i="14"/>
  <c r="N168" i="14"/>
  <c r="V168" i="14"/>
  <c r="E168" i="14"/>
  <c r="N118" i="13"/>
  <c r="O118" i="13"/>
  <c r="P118" i="13"/>
  <c r="Q118" i="13"/>
  <c r="R118" i="13"/>
  <c r="S118" i="13"/>
  <c r="T118" i="13"/>
  <c r="U118" i="13"/>
  <c r="V118" i="13"/>
  <c r="W118" i="13"/>
  <c r="X118" i="13"/>
  <c r="Y118" i="13"/>
  <c r="M118" i="13"/>
  <c r="N117" i="4"/>
  <c r="O117" i="4"/>
  <c r="P117" i="4"/>
  <c r="Q117" i="4"/>
  <c r="R117" i="4"/>
  <c r="S117" i="4"/>
  <c r="T117" i="4"/>
  <c r="U117" i="4"/>
  <c r="V117" i="4"/>
  <c r="W117" i="4"/>
  <c r="X117" i="4"/>
  <c r="Y117" i="4"/>
  <c r="M117" i="4"/>
  <c r="S168" i="14" l="1"/>
  <c r="I168" i="14"/>
  <c r="G168" i="14"/>
  <c r="H168" i="14"/>
  <c r="O168" i="14"/>
  <c r="T168" i="14"/>
  <c r="X168" i="14"/>
  <c r="P168" i="14"/>
  <c r="M168" i="14"/>
  <c r="F168" i="14"/>
  <c r="N158" i="14" l="1"/>
  <c r="O158" i="14"/>
  <c r="P158" i="14"/>
  <c r="Q158" i="14"/>
  <c r="R158" i="14"/>
  <c r="S158" i="14"/>
  <c r="T158" i="14"/>
  <c r="U158" i="14"/>
  <c r="V158" i="14"/>
  <c r="W158" i="14"/>
  <c r="X158" i="14"/>
  <c r="Y158" i="14"/>
  <c r="M158" i="14"/>
  <c r="G158" i="14"/>
  <c r="H158" i="14"/>
  <c r="I158" i="14"/>
  <c r="F158" i="14"/>
  <c r="N157" i="14"/>
  <c r="O157" i="14"/>
  <c r="P157" i="14"/>
  <c r="Q157" i="14"/>
  <c r="R157" i="14"/>
  <c r="S157" i="14"/>
  <c r="T157" i="14"/>
  <c r="U157" i="14"/>
  <c r="V157" i="14"/>
  <c r="W157" i="14"/>
  <c r="X157" i="14"/>
  <c r="Y157" i="14"/>
  <c r="M157" i="14"/>
  <c r="G157" i="14"/>
  <c r="H157" i="14"/>
  <c r="I157" i="14"/>
  <c r="F157" i="14"/>
  <c r="N107" i="2"/>
  <c r="O107" i="2"/>
  <c r="P107" i="2"/>
  <c r="Q107" i="2"/>
  <c r="R107" i="2"/>
  <c r="S107" i="2"/>
  <c r="T107" i="2"/>
  <c r="U107" i="2"/>
  <c r="V107" i="2"/>
  <c r="W107" i="2"/>
  <c r="X107" i="2"/>
  <c r="Y107" i="2"/>
  <c r="M107" i="2"/>
  <c r="G107" i="2"/>
  <c r="H107" i="2"/>
  <c r="I107" i="2"/>
  <c r="F107" i="2"/>
  <c r="E149" i="14" l="1"/>
  <c r="N147" i="14"/>
  <c r="O147" i="14"/>
  <c r="P147" i="14"/>
  <c r="Q147" i="14"/>
  <c r="R147" i="14"/>
  <c r="S147" i="14"/>
  <c r="T147" i="14"/>
  <c r="U147" i="14"/>
  <c r="V147" i="14"/>
  <c r="W147" i="14"/>
  <c r="X147" i="14"/>
  <c r="Y147" i="14"/>
  <c r="M147" i="14"/>
  <c r="G147" i="14"/>
  <c r="H147" i="14"/>
  <c r="I147" i="14"/>
  <c r="F147" i="14"/>
  <c r="N146" i="14"/>
  <c r="O146" i="14"/>
  <c r="P146" i="14"/>
  <c r="P149" i="14" s="1"/>
  <c r="Q146" i="14"/>
  <c r="Q149" i="14" s="1"/>
  <c r="R146" i="14"/>
  <c r="S146" i="14"/>
  <c r="T146" i="14"/>
  <c r="U146" i="14"/>
  <c r="V146" i="14"/>
  <c r="W146" i="14"/>
  <c r="X146" i="14"/>
  <c r="Y146" i="14"/>
  <c r="Y149" i="14" s="1"/>
  <c r="M146" i="14"/>
  <c r="G146" i="14"/>
  <c r="H146" i="14"/>
  <c r="I146" i="14"/>
  <c r="F146" i="14"/>
  <c r="N139" i="14"/>
  <c r="O139" i="14"/>
  <c r="P139" i="14"/>
  <c r="Q139" i="14"/>
  <c r="R139" i="14"/>
  <c r="S139" i="14"/>
  <c r="T139" i="14"/>
  <c r="U139" i="14"/>
  <c r="V139" i="14"/>
  <c r="W139" i="14"/>
  <c r="X139" i="14"/>
  <c r="Y139" i="14"/>
  <c r="M139" i="14"/>
  <c r="G139" i="14"/>
  <c r="H139" i="14"/>
  <c r="I139" i="14"/>
  <c r="F139" i="14"/>
  <c r="N96" i="2"/>
  <c r="O96" i="2"/>
  <c r="P96" i="2"/>
  <c r="Q96" i="2"/>
  <c r="R96" i="2"/>
  <c r="S96" i="2"/>
  <c r="T96" i="2"/>
  <c r="U96" i="2"/>
  <c r="V96" i="2"/>
  <c r="W96" i="2"/>
  <c r="X96" i="2"/>
  <c r="Y96" i="2"/>
  <c r="M96" i="2"/>
  <c r="G96" i="2"/>
  <c r="H96" i="2"/>
  <c r="I96" i="2"/>
  <c r="F96" i="2"/>
  <c r="N105" i="13"/>
  <c r="O105" i="13"/>
  <c r="P105" i="13"/>
  <c r="Q105" i="13"/>
  <c r="R105" i="13"/>
  <c r="S105" i="13"/>
  <c r="T105" i="13"/>
  <c r="U105" i="13"/>
  <c r="V105" i="13"/>
  <c r="W105" i="13"/>
  <c r="X105" i="13"/>
  <c r="Y105" i="13"/>
  <c r="M105" i="13"/>
  <c r="N104" i="13"/>
  <c r="O104" i="13"/>
  <c r="P104" i="13"/>
  <c r="Q104" i="13"/>
  <c r="R104" i="13"/>
  <c r="S104" i="13"/>
  <c r="T104" i="13"/>
  <c r="U104" i="13"/>
  <c r="V104" i="13"/>
  <c r="W104" i="13"/>
  <c r="X104" i="13"/>
  <c r="Y104" i="13"/>
  <c r="M104" i="13"/>
  <c r="E129" i="14"/>
  <c r="N126" i="14"/>
  <c r="O126" i="14"/>
  <c r="P126" i="14"/>
  <c r="Q126" i="14"/>
  <c r="R126" i="14"/>
  <c r="S126" i="14"/>
  <c r="T126" i="14"/>
  <c r="U126" i="14"/>
  <c r="V126" i="14"/>
  <c r="W126" i="14"/>
  <c r="X126" i="14"/>
  <c r="Y126" i="14"/>
  <c r="M126" i="14"/>
  <c r="N125" i="14"/>
  <c r="O125" i="14"/>
  <c r="P125" i="14"/>
  <c r="Q125" i="14"/>
  <c r="R125" i="14"/>
  <c r="R129" i="14" s="1"/>
  <c r="S125" i="14"/>
  <c r="T125" i="14"/>
  <c r="U125" i="14"/>
  <c r="V125" i="14"/>
  <c r="W125" i="14"/>
  <c r="X125" i="14"/>
  <c r="Y125" i="14"/>
  <c r="Y129" i="14" s="1"/>
  <c r="M125" i="14"/>
  <c r="M129" i="14" s="1"/>
  <c r="G126" i="14"/>
  <c r="H126" i="14"/>
  <c r="F126" i="14"/>
  <c r="G125" i="14"/>
  <c r="H125" i="14"/>
  <c r="I129" i="14"/>
  <c r="F125" i="14"/>
  <c r="F149" i="14" l="1"/>
  <c r="U149" i="14"/>
  <c r="X129" i="14"/>
  <c r="W149" i="14"/>
  <c r="O149" i="14"/>
  <c r="S149" i="14"/>
  <c r="T129" i="14"/>
  <c r="F129" i="14"/>
  <c r="H149" i="14"/>
  <c r="T149" i="14"/>
  <c r="M149" i="14"/>
  <c r="R149" i="14"/>
  <c r="Q129" i="14"/>
  <c r="X149" i="14"/>
  <c r="P129" i="14"/>
  <c r="V149" i="14"/>
  <c r="N149" i="14"/>
  <c r="W129" i="14"/>
  <c r="O129" i="14"/>
  <c r="G149" i="14"/>
  <c r="H129" i="14"/>
  <c r="G129" i="14"/>
  <c r="V129" i="14"/>
  <c r="N129" i="14"/>
  <c r="S129" i="14"/>
  <c r="U129" i="14"/>
  <c r="I149" i="14"/>
  <c r="N118" i="14" l="1"/>
  <c r="O118" i="14"/>
  <c r="P118" i="14"/>
  <c r="Q118" i="14"/>
  <c r="R118" i="14"/>
  <c r="S118" i="14"/>
  <c r="T118" i="14"/>
  <c r="U118" i="14"/>
  <c r="V118" i="14"/>
  <c r="W118" i="14"/>
  <c r="X118" i="14"/>
  <c r="Y118" i="14"/>
  <c r="M118" i="14"/>
  <c r="G118" i="14"/>
  <c r="H118" i="14"/>
  <c r="I118" i="14"/>
  <c r="F118" i="14"/>
  <c r="N83" i="2"/>
  <c r="O83" i="2"/>
  <c r="P83" i="2"/>
  <c r="Q83" i="2"/>
  <c r="R83" i="2"/>
  <c r="S83" i="2"/>
  <c r="T83" i="2"/>
  <c r="U83" i="2"/>
  <c r="V83" i="2"/>
  <c r="W83" i="2"/>
  <c r="X83" i="2"/>
  <c r="Y83" i="2"/>
  <c r="M83" i="2"/>
  <c r="G83" i="2"/>
  <c r="H83" i="2"/>
  <c r="I83" i="2"/>
  <c r="F83" i="2"/>
  <c r="N91" i="13" l="1"/>
  <c r="O91" i="13"/>
  <c r="P91" i="13"/>
  <c r="Q91" i="13"/>
  <c r="R91" i="13"/>
  <c r="S91" i="13"/>
  <c r="T91" i="13"/>
  <c r="U91" i="13"/>
  <c r="V91" i="13"/>
  <c r="W91" i="13"/>
  <c r="X91" i="13"/>
  <c r="Y91" i="13"/>
  <c r="M91" i="13"/>
  <c r="N142" i="4" l="1"/>
  <c r="O142" i="4"/>
  <c r="P142" i="4"/>
  <c r="Q142" i="4"/>
  <c r="R142" i="4"/>
  <c r="S142" i="4"/>
  <c r="T142" i="4"/>
  <c r="U142" i="4"/>
  <c r="V142" i="4"/>
  <c r="W142" i="4"/>
  <c r="X142" i="4"/>
  <c r="Y142" i="4"/>
  <c r="M142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M141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M128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M116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M103" i="4"/>
  <c r="N90" i="4" l="1"/>
  <c r="O90" i="4"/>
  <c r="P90" i="4"/>
  <c r="Q90" i="4"/>
  <c r="R90" i="4"/>
  <c r="S90" i="4"/>
  <c r="T90" i="4"/>
  <c r="U90" i="4"/>
  <c r="V90" i="4"/>
  <c r="W90" i="4"/>
  <c r="X90" i="4"/>
  <c r="Y90" i="4"/>
  <c r="M90" i="4"/>
  <c r="N89" i="4"/>
  <c r="O89" i="4"/>
  <c r="P89" i="4"/>
  <c r="Q89" i="4"/>
  <c r="R89" i="4"/>
  <c r="S89" i="4"/>
  <c r="T89" i="4"/>
  <c r="U89" i="4"/>
  <c r="V89" i="4"/>
  <c r="W89" i="4"/>
  <c r="X89" i="4"/>
  <c r="Y89" i="4"/>
  <c r="M89" i="4"/>
  <c r="N64" i="4"/>
  <c r="O64" i="4"/>
  <c r="P64" i="4"/>
  <c r="Q64" i="4"/>
  <c r="R64" i="4"/>
  <c r="S64" i="4"/>
  <c r="T64" i="4"/>
  <c r="U64" i="4"/>
  <c r="V64" i="4"/>
  <c r="W64" i="4"/>
  <c r="X64" i="4"/>
  <c r="Y64" i="4"/>
  <c r="M64" i="4"/>
  <c r="N63" i="4"/>
  <c r="O63" i="4"/>
  <c r="P63" i="4"/>
  <c r="Q63" i="4"/>
  <c r="R63" i="4"/>
  <c r="S63" i="4"/>
  <c r="T63" i="4"/>
  <c r="U63" i="4"/>
  <c r="V63" i="4"/>
  <c r="W63" i="4"/>
  <c r="X63" i="4"/>
  <c r="Y63" i="4"/>
  <c r="M63" i="4"/>
  <c r="N52" i="4"/>
  <c r="O52" i="4"/>
  <c r="P52" i="4"/>
  <c r="Q52" i="4"/>
  <c r="R52" i="4"/>
  <c r="S52" i="4"/>
  <c r="T52" i="4"/>
  <c r="U52" i="4"/>
  <c r="V52" i="4"/>
  <c r="W52" i="4"/>
  <c r="X52" i="4"/>
  <c r="Y52" i="4"/>
  <c r="M52" i="4"/>
  <c r="N51" i="4"/>
  <c r="O51" i="4"/>
  <c r="P51" i="4"/>
  <c r="Q51" i="4"/>
  <c r="R51" i="4"/>
  <c r="S51" i="4"/>
  <c r="T51" i="4"/>
  <c r="U51" i="4"/>
  <c r="V51" i="4"/>
  <c r="W51" i="4"/>
  <c r="X51" i="4"/>
  <c r="Y51" i="4"/>
  <c r="M51" i="4"/>
  <c r="N24" i="4"/>
  <c r="O24" i="4"/>
  <c r="P24" i="4"/>
  <c r="Q24" i="4"/>
  <c r="R24" i="4"/>
  <c r="S24" i="4"/>
  <c r="T24" i="4"/>
  <c r="U24" i="4"/>
  <c r="V24" i="4"/>
  <c r="W24" i="4"/>
  <c r="X24" i="4"/>
  <c r="Y24" i="4"/>
  <c r="M24" i="4"/>
  <c r="N24" i="14" l="1"/>
  <c r="O24" i="14"/>
  <c r="P24" i="14"/>
  <c r="Q24" i="14"/>
  <c r="R24" i="14"/>
  <c r="S24" i="14"/>
  <c r="T24" i="14"/>
  <c r="U24" i="14"/>
  <c r="V24" i="14"/>
  <c r="W24" i="14"/>
  <c r="X24" i="14"/>
  <c r="Y24" i="14"/>
  <c r="M24" i="14"/>
  <c r="G24" i="14"/>
  <c r="H24" i="14"/>
  <c r="I24" i="14"/>
  <c r="F24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M23" i="14"/>
  <c r="G23" i="14"/>
  <c r="H23" i="14"/>
  <c r="I23" i="14"/>
  <c r="F23" i="14"/>
  <c r="N47" i="2" l="1"/>
  <c r="O47" i="2"/>
  <c r="P47" i="2"/>
  <c r="Q47" i="2"/>
  <c r="R47" i="2"/>
  <c r="S47" i="2"/>
  <c r="T47" i="2"/>
  <c r="U47" i="2"/>
  <c r="V47" i="2"/>
  <c r="W47" i="2"/>
  <c r="X47" i="2"/>
  <c r="Y47" i="2"/>
  <c r="M47" i="2"/>
  <c r="G47" i="2"/>
  <c r="H47" i="2"/>
  <c r="I47" i="2"/>
  <c r="F47" i="2"/>
  <c r="N35" i="2" l="1"/>
  <c r="O35" i="2"/>
  <c r="P35" i="2"/>
  <c r="Q35" i="2"/>
  <c r="R35" i="2"/>
  <c r="S35" i="2"/>
  <c r="T35" i="2"/>
  <c r="U35" i="2"/>
  <c r="V35" i="2"/>
  <c r="W35" i="2"/>
  <c r="X35" i="2"/>
  <c r="Y35" i="2"/>
  <c r="M35" i="2"/>
  <c r="G35" i="2"/>
  <c r="H35" i="2"/>
  <c r="I35" i="2"/>
  <c r="F35" i="2"/>
  <c r="N117" i="13" l="1"/>
  <c r="O117" i="13"/>
  <c r="P117" i="13"/>
  <c r="Q117" i="13"/>
  <c r="R117" i="13"/>
  <c r="S117" i="13"/>
  <c r="T117" i="13"/>
  <c r="U117" i="13"/>
  <c r="V117" i="13"/>
  <c r="W117" i="13"/>
  <c r="X117" i="13"/>
  <c r="Y117" i="13"/>
  <c r="M117" i="13"/>
  <c r="N77" i="13" l="1"/>
  <c r="O77" i="13"/>
  <c r="P77" i="13"/>
  <c r="Q77" i="13"/>
  <c r="R77" i="13"/>
  <c r="S77" i="13"/>
  <c r="T77" i="13"/>
  <c r="U77" i="13"/>
  <c r="V77" i="13"/>
  <c r="W77" i="13"/>
  <c r="X77" i="13"/>
  <c r="Y77" i="13"/>
  <c r="M77" i="13"/>
  <c r="N39" i="13" l="1"/>
  <c r="O39" i="13"/>
  <c r="P39" i="13"/>
  <c r="Q39" i="13"/>
  <c r="R39" i="13"/>
  <c r="S39" i="13"/>
  <c r="T39" i="13"/>
  <c r="U39" i="13"/>
  <c r="V39" i="13"/>
  <c r="W39" i="13"/>
  <c r="X39" i="13"/>
  <c r="Y39" i="13"/>
  <c r="M39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M38" i="13"/>
  <c r="N25" i="13" l="1"/>
  <c r="O25" i="13"/>
  <c r="P25" i="13"/>
  <c r="Q25" i="13"/>
  <c r="R25" i="13"/>
  <c r="S25" i="13"/>
  <c r="T25" i="13"/>
  <c r="U25" i="13"/>
  <c r="V25" i="13"/>
  <c r="W25" i="13"/>
  <c r="X25" i="13"/>
  <c r="Y25" i="13"/>
  <c r="M25" i="13"/>
  <c r="N90" i="13" l="1"/>
  <c r="O90" i="13"/>
  <c r="P90" i="13"/>
  <c r="Q90" i="13"/>
  <c r="R90" i="13"/>
  <c r="S90" i="13"/>
  <c r="T90" i="13"/>
  <c r="U90" i="13"/>
  <c r="V90" i="13"/>
  <c r="W90" i="13"/>
  <c r="X90" i="13"/>
  <c r="Y90" i="13"/>
  <c r="M90" i="13"/>
  <c r="N76" i="4" l="1"/>
  <c r="O76" i="4"/>
  <c r="P76" i="4"/>
  <c r="Q76" i="4"/>
  <c r="R76" i="4"/>
  <c r="S76" i="4"/>
  <c r="T76" i="4"/>
  <c r="U76" i="4"/>
  <c r="V76" i="4"/>
  <c r="W76" i="4"/>
  <c r="X76" i="4"/>
  <c r="Y76" i="4"/>
  <c r="M76" i="4"/>
  <c r="N75" i="4"/>
  <c r="O75" i="4"/>
  <c r="P75" i="4"/>
  <c r="Q75" i="4"/>
  <c r="R75" i="4"/>
  <c r="S75" i="4"/>
  <c r="T75" i="4"/>
  <c r="U75" i="4"/>
  <c r="V75" i="4"/>
  <c r="W75" i="4"/>
  <c r="X75" i="4"/>
  <c r="Y75" i="4"/>
  <c r="M75" i="4"/>
  <c r="E66" i="4" l="1"/>
  <c r="N38" i="4" l="1"/>
  <c r="O38" i="4"/>
  <c r="P38" i="4"/>
  <c r="Q38" i="4"/>
  <c r="R38" i="4"/>
  <c r="S38" i="4"/>
  <c r="T38" i="4"/>
  <c r="U38" i="4"/>
  <c r="V38" i="4"/>
  <c r="W38" i="4"/>
  <c r="X38" i="4"/>
  <c r="Y38" i="4"/>
  <c r="M38" i="4"/>
  <c r="E28" i="4" l="1"/>
  <c r="N25" i="4"/>
  <c r="O25" i="4"/>
  <c r="P25" i="4"/>
  <c r="Q25" i="4"/>
  <c r="R25" i="4"/>
  <c r="S25" i="4"/>
  <c r="T25" i="4"/>
  <c r="U25" i="4"/>
  <c r="V25" i="4"/>
  <c r="W25" i="4"/>
  <c r="X25" i="4"/>
  <c r="X28" i="4" s="1"/>
  <c r="Y25" i="4"/>
  <c r="M25" i="4"/>
  <c r="I28" i="4"/>
  <c r="U28" i="4"/>
  <c r="M28" i="4" l="1"/>
  <c r="R28" i="4"/>
  <c r="F28" i="4"/>
  <c r="V28" i="4"/>
  <c r="N28" i="4"/>
  <c r="W28" i="4"/>
  <c r="O28" i="4"/>
  <c r="H28" i="4"/>
  <c r="T28" i="4"/>
  <c r="P28" i="4"/>
  <c r="G28" i="4"/>
  <c r="S28" i="4"/>
  <c r="Y28" i="4"/>
  <c r="Q28" i="4"/>
  <c r="J93" i="4"/>
  <c r="K93" i="4"/>
  <c r="K79" i="4" l="1"/>
  <c r="K90" i="14" l="1"/>
  <c r="N48" i="2" l="1"/>
  <c r="O48" i="2"/>
  <c r="P48" i="2"/>
  <c r="Q48" i="2"/>
  <c r="R48" i="2"/>
  <c r="S48" i="2"/>
  <c r="T48" i="2"/>
  <c r="U48" i="2"/>
  <c r="V48" i="2"/>
  <c r="W48" i="2"/>
  <c r="X48" i="2"/>
  <c r="Y48" i="2"/>
  <c r="M48" i="2"/>
  <c r="G48" i="2"/>
  <c r="H48" i="2"/>
  <c r="I48" i="2"/>
  <c r="F48" i="2"/>
  <c r="E94" i="13" l="1"/>
  <c r="N129" i="4" l="1"/>
  <c r="O129" i="4"/>
  <c r="P129" i="4"/>
  <c r="Q129" i="4"/>
  <c r="R129" i="4"/>
  <c r="S129" i="4"/>
  <c r="T129" i="4"/>
  <c r="U129" i="4"/>
  <c r="V129" i="4"/>
  <c r="W129" i="4"/>
  <c r="X129" i="4"/>
  <c r="Y129" i="4"/>
  <c r="M129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M104" i="4"/>
  <c r="E93" i="4"/>
  <c r="E79" i="4"/>
  <c r="K149" i="14" l="1"/>
  <c r="K206" i="14" l="1"/>
  <c r="K186" i="14"/>
  <c r="K168" i="14"/>
  <c r="N94" i="13" l="1"/>
  <c r="O94" i="13"/>
  <c r="P94" i="13"/>
  <c r="Q94" i="13"/>
  <c r="R94" i="13"/>
  <c r="S94" i="13"/>
  <c r="T94" i="13"/>
  <c r="U94" i="13"/>
  <c r="V94" i="13"/>
  <c r="W94" i="13"/>
  <c r="X94" i="13"/>
  <c r="Y94" i="13"/>
  <c r="M94" i="13"/>
  <c r="G94" i="13"/>
  <c r="H94" i="13"/>
  <c r="I94" i="13"/>
  <c r="F94" i="13"/>
  <c r="G67" i="13"/>
  <c r="H67" i="13"/>
  <c r="I67" i="13"/>
  <c r="F67" i="13"/>
  <c r="N93" i="4" l="1"/>
  <c r="O93" i="4"/>
  <c r="P93" i="4"/>
  <c r="Q93" i="4"/>
  <c r="R93" i="4"/>
  <c r="S93" i="4"/>
  <c r="T93" i="4"/>
  <c r="U93" i="4"/>
  <c r="V93" i="4"/>
  <c r="W93" i="4"/>
  <c r="X93" i="4"/>
  <c r="Y93" i="4"/>
  <c r="M93" i="4"/>
  <c r="G93" i="4"/>
  <c r="H93" i="4"/>
  <c r="I93" i="4"/>
  <c r="F93" i="4"/>
  <c r="N79" i="4"/>
  <c r="O79" i="4"/>
  <c r="P79" i="4"/>
  <c r="Q79" i="4"/>
  <c r="R79" i="4"/>
  <c r="S79" i="4"/>
  <c r="T79" i="4"/>
  <c r="U79" i="4"/>
  <c r="V79" i="4"/>
  <c r="W79" i="4"/>
  <c r="X79" i="4"/>
  <c r="Y79" i="4"/>
  <c r="M79" i="4"/>
  <c r="G79" i="4"/>
  <c r="H79" i="4"/>
  <c r="I79" i="4"/>
  <c r="F79" i="4"/>
  <c r="K180" i="14" l="1"/>
  <c r="E180" i="14"/>
  <c r="E161" i="14"/>
  <c r="K142" i="14"/>
  <c r="E142" i="14"/>
  <c r="K129" i="14"/>
  <c r="K109" i="14"/>
  <c r="K72" i="14"/>
  <c r="K52" i="14"/>
  <c r="K34" i="14"/>
  <c r="W142" i="14" l="1"/>
  <c r="O142" i="14"/>
  <c r="F142" i="14"/>
  <c r="V142" i="14"/>
  <c r="N142" i="14"/>
  <c r="I142" i="14"/>
  <c r="U142" i="14"/>
  <c r="G142" i="14"/>
  <c r="S142" i="14"/>
  <c r="T142" i="14"/>
  <c r="M142" i="14"/>
  <c r="R142" i="14"/>
  <c r="X142" i="14"/>
  <c r="Y142" i="14"/>
  <c r="Q142" i="14"/>
  <c r="H142" i="14"/>
  <c r="P142" i="14"/>
  <c r="N119" i="4" l="1"/>
  <c r="O119" i="4"/>
  <c r="P119" i="4"/>
  <c r="Q119" i="4"/>
  <c r="R119" i="4"/>
  <c r="S119" i="4"/>
  <c r="T119" i="4"/>
  <c r="U119" i="4"/>
  <c r="V119" i="4"/>
  <c r="W119" i="4"/>
  <c r="X119" i="4"/>
  <c r="Y119" i="4"/>
  <c r="N39" i="4"/>
  <c r="O39" i="4"/>
  <c r="P39" i="4"/>
  <c r="Q39" i="4"/>
  <c r="R39" i="4"/>
  <c r="S39" i="4"/>
  <c r="T39" i="4"/>
  <c r="U39" i="4"/>
  <c r="V39" i="4"/>
  <c r="W39" i="4"/>
  <c r="X39" i="4"/>
  <c r="Y39" i="4"/>
  <c r="M39" i="4"/>
  <c r="G136" i="2" l="1"/>
  <c r="H136" i="2"/>
  <c r="I136" i="2"/>
  <c r="E136" i="2"/>
  <c r="F136" i="2" l="1"/>
  <c r="K199" i="14"/>
  <c r="K161" i="14" l="1"/>
  <c r="K170" i="14" l="1"/>
  <c r="K121" i="14" l="1"/>
  <c r="K102" i="14" l="1"/>
  <c r="K83" i="14" l="1"/>
  <c r="K65" i="14" l="1"/>
  <c r="K45" i="14" l="1"/>
  <c r="K27" i="14" l="1"/>
  <c r="K136" i="2" l="1"/>
  <c r="K122" i="2"/>
  <c r="K110" i="2"/>
  <c r="K99" i="2"/>
  <c r="K86" i="2"/>
  <c r="K74" i="2"/>
  <c r="K62" i="2"/>
  <c r="K51" i="2"/>
  <c r="K38" i="2"/>
  <c r="K27" i="2"/>
  <c r="K144" i="13" l="1"/>
  <c r="K132" i="13"/>
  <c r="K120" i="13"/>
  <c r="K107" i="13"/>
  <c r="K94" i="13"/>
  <c r="K80" i="13"/>
  <c r="K54" i="13"/>
  <c r="K67" i="13"/>
  <c r="K41" i="13"/>
  <c r="K28" i="13"/>
  <c r="K144" i="4" l="1"/>
  <c r="K131" i="4"/>
  <c r="K119" i="4"/>
  <c r="K106" i="4"/>
  <c r="K54" i="4"/>
  <c r="K66" i="4"/>
  <c r="K41" i="4"/>
  <c r="K28" i="4"/>
  <c r="E199" i="14" l="1"/>
  <c r="E121" i="14"/>
  <c r="E65" i="14"/>
  <c r="H65" i="14" l="1"/>
  <c r="H199" i="14"/>
  <c r="I65" i="14"/>
  <c r="I199" i="14"/>
  <c r="G65" i="14"/>
  <c r="G199" i="14"/>
  <c r="F65" i="14"/>
  <c r="F199" i="14"/>
  <c r="E102" i="14"/>
  <c r="E83" i="14" l="1"/>
  <c r="Y65" i="14" l="1"/>
  <c r="Q65" i="14"/>
  <c r="X65" i="14"/>
  <c r="P65" i="14"/>
  <c r="W65" i="14"/>
  <c r="O65" i="14"/>
  <c r="V65" i="14"/>
  <c r="T65" i="14"/>
  <c r="U65" i="14"/>
  <c r="S65" i="14"/>
  <c r="N65" i="14"/>
  <c r="M65" i="14"/>
  <c r="R65" i="14"/>
  <c r="N136" i="2"/>
  <c r="O136" i="2"/>
  <c r="P136" i="2"/>
  <c r="Q136" i="2"/>
  <c r="R136" i="2"/>
  <c r="S136" i="2"/>
  <c r="T136" i="2"/>
  <c r="U136" i="2"/>
  <c r="V136" i="2"/>
  <c r="W136" i="2"/>
  <c r="X136" i="2"/>
  <c r="Y136" i="2"/>
  <c r="M136" i="2"/>
  <c r="V122" i="2"/>
  <c r="I122" i="2"/>
  <c r="E122" i="2"/>
  <c r="F122" i="2"/>
  <c r="E86" i="2"/>
  <c r="E74" i="2"/>
  <c r="E62" i="2"/>
  <c r="I62" i="2"/>
  <c r="H62" i="2"/>
  <c r="E51" i="2"/>
  <c r="N80" i="13"/>
  <c r="O80" i="13"/>
  <c r="P80" i="13"/>
  <c r="Q80" i="13"/>
  <c r="R80" i="13"/>
  <c r="S80" i="13"/>
  <c r="T80" i="13"/>
  <c r="U80" i="13"/>
  <c r="V80" i="13"/>
  <c r="W80" i="13"/>
  <c r="X80" i="13"/>
  <c r="Y80" i="13"/>
  <c r="M80" i="13"/>
  <c r="F80" i="13"/>
  <c r="G80" i="13"/>
  <c r="H80" i="13"/>
  <c r="I80" i="13"/>
  <c r="E80" i="13"/>
  <c r="E132" i="13"/>
  <c r="Y62" i="2" l="1"/>
  <c r="Q62" i="2"/>
  <c r="N122" i="2"/>
  <c r="M122" i="2"/>
  <c r="R122" i="2"/>
  <c r="G122" i="2"/>
  <c r="T122" i="2"/>
  <c r="H122" i="2"/>
  <c r="X122" i="2"/>
  <c r="P122" i="2"/>
  <c r="W122" i="2"/>
  <c r="O122" i="2"/>
  <c r="Y122" i="2"/>
  <c r="Q122" i="2"/>
  <c r="S122" i="2"/>
  <c r="U122" i="2"/>
  <c r="W62" i="2"/>
  <c r="V62" i="2"/>
  <c r="N62" i="2"/>
  <c r="M51" i="2"/>
  <c r="O62" i="2"/>
  <c r="X62" i="2"/>
  <c r="U51" i="2"/>
  <c r="T51" i="2"/>
  <c r="F51" i="2"/>
  <c r="M62" i="2"/>
  <c r="R62" i="2"/>
  <c r="P62" i="2"/>
  <c r="I51" i="2"/>
  <c r="S62" i="2"/>
  <c r="G51" i="2"/>
  <c r="Q51" i="2"/>
  <c r="X51" i="2"/>
  <c r="P51" i="2"/>
  <c r="F62" i="2"/>
  <c r="S51" i="2"/>
  <c r="U62" i="2"/>
  <c r="Y51" i="2"/>
  <c r="T62" i="2"/>
  <c r="W51" i="2"/>
  <c r="O51" i="2"/>
  <c r="G62" i="2"/>
  <c r="R51" i="2"/>
  <c r="H51" i="2"/>
  <c r="V51" i="2"/>
  <c r="N51" i="2"/>
  <c r="I131" i="4" l="1"/>
  <c r="E131" i="4"/>
  <c r="H131" i="4"/>
  <c r="G131" i="4"/>
  <c r="F131" i="4"/>
  <c r="N131" i="4" l="1"/>
  <c r="R131" i="4"/>
  <c r="V131" i="4"/>
  <c r="M131" i="4"/>
  <c r="T131" i="4"/>
  <c r="X131" i="4"/>
  <c r="U131" i="4"/>
  <c r="Y131" i="4"/>
  <c r="Q131" i="4"/>
  <c r="P131" i="4"/>
  <c r="S131" i="4"/>
  <c r="W131" i="4"/>
  <c r="O131" i="4"/>
  <c r="P83" i="14" l="1"/>
  <c r="Q83" i="14"/>
  <c r="R83" i="14"/>
  <c r="S83" i="14"/>
  <c r="X83" i="14"/>
  <c r="Y83" i="14"/>
  <c r="M83" i="14"/>
  <c r="N161" i="14"/>
  <c r="O161" i="14"/>
  <c r="P161" i="14"/>
  <c r="Q161" i="14"/>
  <c r="R161" i="14"/>
  <c r="S161" i="14"/>
  <c r="T161" i="14"/>
  <c r="U161" i="14"/>
  <c r="V161" i="14"/>
  <c r="W161" i="14"/>
  <c r="X161" i="14"/>
  <c r="Y161" i="14"/>
  <c r="M161" i="14"/>
  <c r="O199" i="14"/>
  <c r="W199" i="14"/>
  <c r="N121" i="14"/>
  <c r="O121" i="14"/>
  <c r="P121" i="14"/>
  <c r="Q121" i="14"/>
  <c r="R121" i="14"/>
  <c r="S121" i="14"/>
  <c r="T121" i="14"/>
  <c r="U121" i="14"/>
  <c r="V121" i="14"/>
  <c r="W121" i="14"/>
  <c r="X121" i="14"/>
  <c r="Y121" i="14"/>
  <c r="M121" i="14"/>
  <c r="P102" i="14"/>
  <c r="Q102" i="14"/>
  <c r="R102" i="14"/>
  <c r="S102" i="14"/>
  <c r="X102" i="14"/>
  <c r="Y102" i="14"/>
  <c r="M102" i="14"/>
  <c r="X45" i="14" l="1"/>
  <c r="P45" i="14"/>
  <c r="T199" i="14"/>
  <c r="U199" i="14"/>
  <c r="S199" i="14"/>
  <c r="Y199" i="14"/>
  <c r="Q199" i="14"/>
  <c r="X199" i="14"/>
  <c r="P199" i="14"/>
  <c r="M199" i="14"/>
  <c r="R199" i="14"/>
  <c r="X27" i="14"/>
  <c r="P27" i="14"/>
  <c r="M45" i="14"/>
  <c r="R45" i="14"/>
  <c r="V199" i="14"/>
  <c r="N199" i="14"/>
  <c r="Q27" i="14"/>
  <c r="Y27" i="14"/>
  <c r="S27" i="14"/>
  <c r="U45" i="14"/>
  <c r="W102" i="14"/>
  <c r="O102" i="14"/>
  <c r="T45" i="14"/>
  <c r="Y45" i="14"/>
  <c r="Q45" i="14"/>
  <c r="V102" i="14"/>
  <c r="N102" i="14"/>
  <c r="S45" i="14"/>
  <c r="U102" i="14"/>
  <c r="T102" i="14"/>
  <c r="W83" i="14"/>
  <c r="O83" i="14"/>
  <c r="V83" i="14"/>
  <c r="N83" i="14"/>
  <c r="U83" i="14"/>
  <c r="T83" i="14"/>
  <c r="O27" i="14"/>
  <c r="V27" i="14"/>
  <c r="N27" i="14"/>
  <c r="O45" i="14"/>
  <c r="T27" i="14"/>
  <c r="V45" i="14"/>
  <c r="N45" i="14"/>
  <c r="W27" i="14"/>
  <c r="U27" i="14"/>
  <c r="W45" i="14"/>
  <c r="M27" i="14"/>
  <c r="R27" i="14"/>
  <c r="N110" i="2"/>
  <c r="O110" i="2"/>
  <c r="P110" i="2"/>
  <c r="Q110" i="2"/>
  <c r="R110" i="2"/>
  <c r="S110" i="2"/>
  <c r="T110" i="2"/>
  <c r="U110" i="2"/>
  <c r="V110" i="2"/>
  <c r="W110" i="2"/>
  <c r="X110" i="2"/>
  <c r="Y110" i="2"/>
  <c r="M110" i="2"/>
  <c r="N86" i="2"/>
  <c r="O86" i="2"/>
  <c r="P86" i="2"/>
  <c r="Q86" i="2"/>
  <c r="R86" i="2"/>
  <c r="S86" i="2"/>
  <c r="T86" i="2"/>
  <c r="U86" i="2"/>
  <c r="V86" i="2"/>
  <c r="W86" i="2"/>
  <c r="X86" i="2"/>
  <c r="Y86" i="2"/>
  <c r="M86" i="2"/>
  <c r="P38" i="2"/>
  <c r="X38" i="2"/>
  <c r="N27" i="2"/>
  <c r="R27" i="2"/>
  <c r="U27" i="2"/>
  <c r="V27" i="2"/>
  <c r="W27" i="2"/>
  <c r="Y27" i="2"/>
  <c r="M74" i="2" l="1"/>
  <c r="R74" i="2"/>
  <c r="Y99" i="2"/>
  <c r="Q99" i="2"/>
  <c r="W38" i="2"/>
  <c r="O38" i="2"/>
  <c r="Y74" i="2"/>
  <c r="Q74" i="2"/>
  <c r="X99" i="2"/>
  <c r="N38" i="2"/>
  <c r="X74" i="2"/>
  <c r="P74" i="2"/>
  <c r="V38" i="2"/>
  <c r="W74" i="2"/>
  <c r="Q27" i="2"/>
  <c r="S27" i="2"/>
  <c r="U38" i="2"/>
  <c r="O74" i="2"/>
  <c r="M27" i="2"/>
  <c r="T38" i="2"/>
  <c r="V74" i="2"/>
  <c r="N74" i="2"/>
  <c r="W99" i="2"/>
  <c r="S38" i="2"/>
  <c r="U74" i="2"/>
  <c r="M38" i="2"/>
  <c r="R38" i="2"/>
  <c r="T74" i="2"/>
  <c r="U99" i="2"/>
  <c r="Y38" i="2"/>
  <c r="Q38" i="2"/>
  <c r="S74" i="2"/>
  <c r="T99" i="2"/>
  <c r="S99" i="2"/>
  <c r="M99" i="2"/>
  <c r="R99" i="2"/>
  <c r="P99" i="2"/>
  <c r="O99" i="2"/>
  <c r="V99" i="2"/>
  <c r="N99" i="2"/>
  <c r="O27" i="2"/>
  <c r="X27" i="2"/>
  <c r="P27" i="2"/>
  <c r="T27" i="2"/>
  <c r="I83" i="14" l="1"/>
  <c r="H83" i="14"/>
  <c r="G83" i="14"/>
  <c r="F83" i="14"/>
  <c r="I102" i="14" l="1"/>
  <c r="H102" i="14"/>
  <c r="G102" i="14"/>
  <c r="F102" i="14"/>
  <c r="I161" i="14" l="1"/>
  <c r="H161" i="14"/>
  <c r="G161" i="14"/>
  <c r="F161" i="14"/>
  <c r="I121" i="14"/>
  <c r="H121" i="14"/>
  <c r="G121" i="14"/>
  <c r="F121" i="14"/>
  <c r="E45" i="14"/>
  <c r="I45" i="14"/>
  <c r="H45" i="14"/>
  <c r="G45" i="14"/>
  <c r="F45" i="14"/>
  <c r="E27" i="14"/>
  <c r="I27" i="14"/>
  <c r="H27" i="14"/>
  <c r="G27" i="14" l="1"/>
  <c r="F27" i="14"/>
  <c r="E99" i="2" l="1"/>
  <c r="I99" i="2"/>
  <c r="H99" i="2"/>
  <c r="G99" i="2"/>
  <c r="F99" i="2"/>
  <c r="Y54" i="4" l="1"/>
  <c r="X54" i="4"/>
  <c r="W54" i="4"/>
  <c r="V54" i="4"/>
  <c r="U54" i="4"/>
  <c r="T54" i="4"/>
  <c r="S54" i="4"/>
  <c r="R54" i="4"/>
  <c r="Q54" i="4"/>
  <c r="P54" i="4"/>
  <c r="O54" i="4"/>
  <c r="N54" i="4"/>
  <c r="M54" i="4"/>
  <c r="E54" i="4"/>
  <c r="H54" i="4"/>
  <c r="Y54" i="13"/>
  <c r="X54" i="13"/>
  <c r="W54" i="13"/>
  <c r="V54" i="13"/>
  <c r="U54" i="13"/>
  <c r="T54" i="13"/>
  <c r="S54" i="13"/>
  <c r="R54" i="13"/>
  <c r="Q54" i="13"/>
  <c r="P54" i="13"/>
  <c r="O54" i="13"/>
  <c r="N54" i="13"/>
  <c r="M54" i="13"/>
  <c r="E54" i="13"/>
  <c r="H54" i="13"/>
  <c r="G54" i="13"/>
  <c r="F54" i="13"/>
  <c r="F54" i="4" l="1"/>
  <c r="G54" i="4"/>
  <c r="I54" i="4"/>
  <c r="I54" i="13"/>
  <c r="Y144" i="13" l="1"/>
  <c r="X144" i="13"/>
  <c r="W144" i="13"/>
  <c r="V144" i="13"/>
  <c r="U144" i="13"/>
  <c r="T144" i="13"/>
  <c r="S144" i="13"/>
  <c r="R144" i="13"/>
  <c r="Q144" i="13"/>
  <c r="P144" i="13"/>
  <c r="O144" i="13"/>
  <c r="N144" i="13"/>
  <c r="M144" i="13"/>
  <c r="I144" i="13"/>
  <c r="E144" i="13"/>
  <c r="H144" i="13"/>
  <c r="G144" i="13"/>
  <c r="F144" i="13"/>
  <c r="Y120" i="13"/>
  <c r="X120" i="13"/>
  <c r="W120" i="13"/>
  <c r="V120" i="13"/>
  <c r="U120" i="13"/>
  <c r="T120" i="13"/>
  <c r="S120" i="13"/>
  <c r="R120" i="13"/>
  <c r="Q120" i="13"/>
  <c r="P120" i="13"/>
  <c r="O120" i="13"/>
  <c r="N120" i="13"/>
  <c r="M120" i="13"/>
  <c r="F120" i="13"/>
  <c r="E120" i="13"/>
  <c r="I120" i="13"/>
  <c r="H120" i="13"/>
  <c r="G120" i="13"/>
  <c r="Y107" i="13"/>
  <c r="X107" i="13"/>
  <c r="W107" i="13"/>
  <c r="V107" i="13"/>
  <c r="U107" i="13"/>
  <c r="T107" i="13"/>
  <c r="S107" i="13"/>
  <c r="R107" i="13"/>
  <c r="Q107" i="13"/>
  <c r="P107" i="13"/>
  <c r="O107" i="13"/>
  <c r="N107" i="13"/>
  <c r="M107" i="13"/>
  <c r="I107" i="13"/>
  <c r="H107" i="13"/>
  <c r="G107" i="13"/>
  <c r="F107" i="13"/>
  <c r="E107" i="13"/>
  <c r="Y67" i="13"/>
  <c r="X67" i="13"/>
  <c r="W67" i="13"/>
  <c r="V67" i="13"/>
  <c r="U67" i="13"/>
  <c r="T67" i="13"/>
  <c r="S67" i="13"/>
  <c r="R67" i="13"/>
  <c r="Q67" i="13"/>
  <c r="P67" i="13"/>
  <c r="O67" i="13"/>
  <c r="N67" i="13"/>
  <c r="M67" i="13"/>
  <c r="E67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I41" i="13"/>
  <c r="E41" i="13"/>
  <c r="H41" i="13"/>
  <c r="G41" i="13"/>
  <c r="F41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I28" i="13"/>
  <c r="I145" i="13" s="1"/>
  <c r="H28" i="13"/>
  <c r="H145" i="13" s="1"/>
  <c r="E28" i="13"/>
  <c r="G28" i="13"/>
  <c r="G145" i="13" s="1"/>
  <c r="F28" i="13"/>
  <c r="F145" i="13" l="1"/>
  <c r="N144" i="4"/>
  <c r="O144" i="4"/>
  <c r="P144" i="4"/>
  <c r="Q144" i="4"/>
  <c r="R144" i="4"/>
  <c r="S144" i="4"/>
  <c r="T144" i="4"/>
  <c r="U144" i="4"/>
  <c r="V144" i="4"/>
  <c r="W144" i="4"/>
  <c r="X144" i="4"/>
  <c r="Y144" i="4"/>
  <c r="M144" i="4"/>
  <c r="M119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M106" i="4"/>
  <c r="N66" i="4"/>
  <c r="O66" i="4"/>
  <c r="P66" i="4"/>
  <c r="Q66" i="4"/>
  <c r="R66" i="4"/>
  <c r="S66" i="4"/>
  <c r="T66" i="4"/>
  <c r="U66" i="4"/>
  <c r="V66" i="4"/>
  <c r="W66" i="4"/>
  <c r="X66" i="4"/>
  <c r="Y66" i="4"/>
  <c r="M66" i="4" l="1"/>
  <c r="N41" i="4" l="1"/>
  <c r="O41" i="4"/>
  <c r="P41" i="4"/>
  <c r="Q41" i="4"/>
  <c r="R41" i="4"/>
  <c r="S41" i="4"/>
  <c r="T41" i="4"/>
  <c r="U41" i="4"/>
  <c r="V41" i="4"/>
  <c r="W41" i="4"/>
  <c r="X41" i="4"/>
  <c r="Y41" i="4"/>
  <c r="M41" i="4"/>
  <c r="F74" i="2" l="1"/>
  <c r="H74" i="2"/>
  <c r="G74" i="2"/>
  <c r="I74" i="2"/>
  <c r="E106" i="4"/>
  <c r="I106" i="4" l="1"/>
  <c r="H106" i="4"/>
  <c r="G106" i="4"/>
  <c r="F106" i="4"/>
  <c r="E38" i="2" l="1"/>
  <c r="F110" i="2"/>
  <c r="G110" i="2"/>
  <c r="H110" i="2"/>
  <c r="I110" i="2"/>
  <c r="E110" i="2"/>
  <c r="I86" i="2" l="1"/>
  <c r="H86" i="2"/>
  <c r="G86" i="2"/>
  <c r="F86" i="2"/>
  <c r="I144" i="4" l="1"/>
  <c r="F144" i="4"/>
  <c r="H144" i="4"/>
  <c r="G144" i="4"/>
  <c r="I66" i="4"/>
  <c r="G66" i="4"/>
  <c r="H66" i="4"/>
  <c r="F66" i="4"/>
  <c r="I38" i="2" l="1"/>
  <c r="H38" i="2"/>
  <c r="G38" i="2"/>
  <c r="F38" i="2"/>
  <c r="H27" i="2" l="1"/>
  <c r="G27" i="2"/>
  <c r="F27" i="2"/>
  <c r="I27" i="2" l="1"/>
  <c r="F119" i="4"/>
  <c r="G119" i="4"/>
  <c r="H119" i="4"/>
  <c r="I119" i="4"/>
  <c r="E144" i="4" l="1"/>
  <c r="E119" i="4"/>
  <c r="E41" i="4"/>
  <c r="E27" i="2"/>
  <c r="F41" i="4" l="1"/>
  <c r="F145" i="4" s="1"/>
  <c r="G41" i="4"/>
  <c r="G145" i="4" s="1"/>
  <c r="H41" i="4"/>
  <c r="H145" i="4" s="1"/>
  <c r="I41" i="4"/>
  <c r="I145" i="4" s="1"/>
  <c r="M180" i="14" l="1"/>
</calcChain>
</file>

<file path=xl/sharedStrings.xml><?xml version="1.0" encoding="utf-8"?>
<sst xmlns="http://schemas.openxmlformats.org/spreadsheetml/2006/main" count="1943" uniqueCount="226">
  <si>
    <t>Т/К</t>
  </si>
  <si>
    <t>Наименование блюда</t>
  </si>
  <si>
    <t>Выход,г</t>
  </si>
  <si>
    <t>Пищевые вещества</t>
  </si>
  <si>
    <t>Завтрак</t>
  </si>
  <si>
    <t>54-6к-2020</t>
  </si>
  <si>
    <t>Каша вязкая молочная пшенная</t>
  </si>
  <si>
    <t>54-9гн-2020</t>
  </si>
  <si>
    <t>Кофейный напиток с молоком</t>
  </si>
  <si>
    <t>Обед</t>
  </si>
  <si>
    <t>Каша гречневая рассыпчатая</t>
  </si>
  <si>
    <t>54-8гн-2020</t>
  </si>
  <si>
    <t>Какао с молоком сгущенным</t>
  </si>
  <si>
    <t>54-18к-2020</t>
  </si>
  <si>
    <t>Суп молочный с рисом</t>
  </si>
  <si>
    <t>54-1з-2020</t>
  </si>
  <si>
    <t>Сыр твердых сортов в нарезке</t>
  </si>
  <si>
    <t>54-3гн-2020</t>
  </si>
  <si>
    <t>Чай черный байховый с лимоном и сахаром</t>
  </si>
  <si>
    <t>54-1г-2020</t>
  </si>
  <si>
    <t>Макароны отварные</t>
  </si>
  <si>
    <t>54-16м-2020</t>
  </si>
  <si>
    <t>54-2гн-2020</t>
  </si>
  <si>
    <t>Чай черный байховый с сахаром</t>
  </si>
  <si>
    <t>Масло сливочное (порциями)</t>
  </si>
  <si>
    <t>54-9м-2020</t>
  </si>
  <si>
    <t>Жаркое по-домашнему c говядиной тушеной</t>
  </si>
  <si>
    <t>54-19к-2020</t>
  </si>
  <si>
    <t>54-6г-2020</t>
  </si>
  <si>
    <t>Рис отварной</t>
  </si>
  <si>
    <t>Котлеты из курицы</t>
  </si>
  <si>
    <t>54-7хн-2020</t>
  </si>
  <si>
    <t>54-11г-2020</t>
  </si>
  <si>
    <t>Картофельное пюре</t>
  </si>
  <si>
    <t>54-16к-2020</t>
  </si>
  <si>
    <t>Каша " Дружба"</t>
  </si>
  <si>
    <t>Макароны отварные с сыром</t>
  </si>
  <si>
    <t>Каша вязкая молочная пшеничная</t>
  </si>
  <si>
    <t>Согласно СанПин при приготовлении блюд используется йодированная соль</t>
  </si>
  <si>
    <t>Фрукты свежие (яблоко)</t>
  </si>
  <si>
    <t>54-3г-2020</t>
  </si>
  <si>
    <t>Сок фруктовый в индивидуальной упаковке, 200 гр.</t>
  </si>
  <si>
    <t>СБОРНИК РЕЦЕПТУР БЛЮД И ТИПОВЫХ МЕНЮ ДЛЯ ОРГАНИЗАЦИИ ПИТАНИЯ ДЕТЕЙ ШКОЛЬНОГО ВОЗРАСТА, МОСКВА-2021</t>
  </si>
  <si>
    <t>СБОРНИК ТЕХНОЛОГИЧЕСКИХ НОРМАТИВОВ РЕЦЕПТУР БЛЮД КУЛИНАРНЫХ ИЗДЕЛИЙ ДЛЯ ШКОЛЬНОГО ПИТНИЯ, ПОЛЯКОВСКИЙ Ю.И., УФА  - 2010</t>
  </si>
  <si>
    <t>Каша рисовая молочная жидкая</t>
  </si>
  <si>
    <t>СБОРНИК РЕЦЕПТУР БЛЮД И КУЛИНАРНЫХ ИЗДЕЛИЙ ДЛЯ ПРЕДПРИЯТИЙ ОБЩЕСТВЕННОГО ПИТАНИЯ</t>
  </si>
  <si>
    <t>Голень куриная в сметанном соусе</t>
  </si>
  <si>
    <t>54-2к-2020</t>
  </si>
  <si>
    <t>Каша вязкая молочная кукурузная</t>
  </si>
  <si>
    <t>Бутерброд с маслом и сыром</t>
  </si>
  <si>
    <t>Рассольник " Ленинградский"</t>
  </si>
  <si>
    <t>54-11р-2020</t>
  </si>
  <si>
    <t>Суп картофельный с горохом</t>
  </si>
  <si>
    <t>Масло сливочное (порционно)</t>
  </si>
  <si>
    <t>СБОРНИК ТИПОВЫХ МЕНЮ И РЕЦЕПТУР БЛЮД ДЛЯ ОРГАНИЗАЦИИ ПИТАНИЯ ДЕТЕЙ ШКОЛЬНОГО ВОЗРАСТА В ОРГАНИЗАЦИЯХ С КРУГЛОСУТОЧНЫМ РЕЖИМОМ ПРЕБЫВАНИЯ И ИНЫМИ РЕЖИМАМИ ФУНКЦИОНИРОВАНИЯ, НОВОСИБИРСК-2020</t>
  </si>
  <si>
    <t>Салат из моркови и яблок</t>
  </si>
  <si>
    <t>Напиток из шиповника</t>
  </si>
  <si>
    <t>Возрастная категория 7-11 лет</t>
  </si>
  <si>
    <t>Возрастная категория 7-11  лет</t>
  </si>
  <si>
    <t>Возрастная категория 12-18 лет</t>
  </si>
  <si>
    <t>Пром.</t>
  </si>
  <si>
    <t>ИТОГО за обед:</t>
  </si>
  <si>
    <t>54-4г-2020</t>
  </si>
  <si>
    <t>Булочка "Дорожная"</t>
  </si>
  <si>
    <t>Котлеты рыбные (минтай)</t>
  </si>
  <si>
    <t>Итого за завтрак:</t>
  </si>
  <si>
    <t>54-1о-2020</t>
  </si>
  <si>
    <t>Омлет натуральный</t>
  </si>
  <si>
    <t>ИТОГО за завтрак:</t>
  </si>
  <si>
    <t>Помидор в нарезке</t>
  </si>
  <si>
    <t>Прием пищи</t>
  </si>
  <si>
    <t>Вес блюда, г</t>
  </si>
  <si>
    <t>№ Т/К</t>
  </si>
  <si>
    <t>Неделя 1 День 2</t>
  </si>
  <si>
    <t>Неделя 1 День 4</t>
  </si>
  <si>
    <t>Кисель "Плодово-ягодный"</t>
  </si>
  <si>
    <t>Неделя 2 День 2</t>
  </si>
  <si>
    <t>Суп из овощей с мясными фрикадельками</t>
  </si>
  <si>
    <t>Капуста тушеная с мясом</t>
  </si>
  <si>
    <t>54-10м-2020</t>
  </si>
  <si>
    <t>Неделя 2 День 3</t>
  </si>
  <si>
    <t>Неделя 2 День 4</t>
  </si>
  <si>
    <t>Суп с рыбными консервами</t>
  </si>
  <si>
    <t>Котлета "Здоровье"</t>
  </si>
  <si>
    <t>Неделя 2 День 5</t>
  </si>
  <si>
    <t>Неделя 1 День 1</t>
  </si>
  <si>
    <t>Неделя 1 День 3</t>
  </si>
  <si>
    <t>54-13к-2020</t>
  </si>
  <si>
    <t>Пирожок с яблоком</t>
  </si>
  <si>
    <t>Неделя 1 день 5</t>
  </si>
  <si>
    <t>Неделя 2 День 1</t>
  </si>
  <si>
    <t xml:space="preserve">Завтрак </t>
  </si>
  <si>
    <t>Запеканка из творога</t>
  </si>
  <si>
    <t>в возрастном разрезе 7-11 лет,</t>
  </si>
  <si>
    <t>обучающихся в МКОУ СОШ №  16 г.Бирюсинска</t>
  </si>
  <si>
    <t>ул. Ленина 65, город Бирюсинск, Тайшетского района, Иркутской области, 665050</t>
  </si>
  <si>
    <t xml:space="preserve">тел (839563) 7-11-33,   e-mail: school16_56@mail.ru </t>
  </si>
  <si>
    <t>Перспективное 10-дневное меню для учащихся 1-4 классов,</t>
  </si>
  <si>
    <t>Перспективное 10-дневное меню для учащихся ОВЗ и детей-инвалидов,</t>
  </si>
  <si>
    <t>Перспективное 10-дневное меню для учащихся 5-11 классов,</t>
  </si>
  <si>
    <t>в возрастном разрезе 12-18 лет,</t>
  </si>
  <si>
    <t>Неделя 1 День 5</t>
  </si>
  <si>
    <t>Муниципальное казенное общеобразовательное учреждение средняя образовательная школа № 16 г. Бирюсинска</t>
  </si>
  <si>
    <t>Утверждаю:</t>
  </si>
  <si>
    <t>Салат из белокочанной капусты с зеленым горошком</t>
  </si>
  <si>
    <t>ИТОГО:</t>
  </si>
  <si>
    <t>Каша пшенная</t>
  </si>
  <si>
    <t>Хлеб пшеничный</t>
  </si>
  <si>
    <t>Хлеб ржаной</t>
  </si>
  <si>
    <t>Яблоко</t>
  </si>
  <si>
    <t>Макароны с сыром</t>
  </si>
  <si>
    <t xml:space="preserve">Хлеб пшеничный </t>
  </si>
  <si>
    <t>Чай с сахаром</t>
  </si>
  <si>
    <t>Кофейный напиток</t>
  </si>
  <si>
    <t xml:space="preserve">Сок фруктовый </t>
  </si>
  <si>
    <t xml:space="preserve">Хлеб ржаной </t>
  </si>
  <si>
    <t>Борщ со сметаной</t>
  </si>
  <si>
    <t>Тефтели из говядины</t>
  </si>
  <si>
    <t>Чай  с сахаром</t>
  </si>
  <si>
    <t>Сыр  в нарезке</t>
  </si>
  <si>
    <t>Каша  пшеничная</t>
  </si>
  <si>
    <t>Чай с лимоном и сахаром</t>
  </si>
  <si>
    <t>Салат из капусты</t>
  </si>
  <si>
    <t>Суп картофельный с пшеном</t>
  </si>
  <si>
    <t>Минтай тушеный в томате с овощами</t>
  </si>
  <si>
    <t>Компот из сухофруктов</t>
  </si>
  <si>
    <t xml:space="preserve">Кофейный напиток </t>
  </si>
  <si>
    <t xml:space="preserve">Щи из свежей капусты </t>
  </si>
  <si>
    <t xml:space="preserve">Каша гречневая </t>
  </si>
  <si>
    <t xml:space="preserve">Соус молочный </t>
  </si>
  <si>
    <t>Салат из капусты с зеленым горошком</t>
  </si>
  <si>
    <t xml:space="preserve">Каша рисовая </t>
  </si>
  <si>
    <t>Суп молочный с вермишелью</t>
  </si>
  <si>
    <t>Сок фруктовый .</t>
  </si>
  <si>
    <t>Каша  кукурузная</t>
  </si>
  <si>
    <t xml:space="preserve">Печенье "Юбилейное" </t>
  </si>
  <si>
    <t>Каша овсяная</t>
  </si>
  <si>
    <t xml:space="preserve">Ватрушка с творогом </t>
  </si>
  <si>
    <t>Лапшевник из творога</t>
  </si>
  <si>
    <t>Белки, г</t>
  </si>
  <si>
    <t>Жиры, г</t>
  </si>
  <si>
    <t>Углеводы, г</t>
  </si>
  <si>
    <t>Энергетическая ценность, ккал</t>
  </si>
  <si>
    <t>В1</t>
  </si>
  <si>
    <t>В2</t>
  </si>
  <si>
    <t>А</t>
  </si>
  <si>
    <t>С</t>
  </si>
  <si>
    <t>pp</t>
  </si>
  <si>
    <t>Na</t>
  </si>
  <si>
    <t>K</t>
  </si>
  <si>
    <t>Ca</t>
  </si>
  <si>
    <t>Mg</t>
  </si>
  <si>
    <t>P</t>
  </si>
  <si>
    <t>Fe</t>
  </si>
  <si>
    <t>I</t>
  </si>
  <si>
    <t>Se</t>
  </si>
  <si>
    <t>Витамины и минералы</t>
  </si>
  <si>
    <t>Курица тушеная с морковью</t>
  </si>
  <si>
    <t>54-10хн-2020</t>
  </si>
  <si>
    <t>Йогурт в индивидуальной упаковке, 100 гр.</t>
  </si>
  <si>
    <t>Рыба, тушеная в томате с овощами (минтай)</t>
  </si>
  <si>
    <t>Возрастная категория 12-18  лет</t>
  </si>
  <si>
    <t xml:space="preserve">Суп молочный с макаронными изделиями </t>
  </si>
  <si>
    <t>54-25м-2020</t>
  </si>
  <si>
    <t>пш 30</t>
  </si>
  <si>
    <t>рж 30</t>
  </si>
  <si>
    <t>пш.40</t>
  </si>
  <si>
    <t xml:space="preserve">рж.40 </t>
  </si>
  <si>
    <t>Неделя 1 день 1</t>
  </si>
  <si>
    <t>Неделя 1 день 2</t>
  </si>
  <si>
    <t>Неделя 1 день 3</t>
  </si>
  <si>
    <t>Неделя 1 день 4</t>
  </si>
  <si>
    <t>Неделя 2 день 1</t>
  </si>
  <si>
    <t>Неделя 2 день 2</t>
  </si>
  <si>
    <t>Неделя 2 день 3</t>
  </si>
  <si>
    <t>Неделя 2 день 4</t>
  </si>
  <si>
    <t>Неделя 2 день 5</t>
  </si>
  <si>
    <t>пш</t>
  </si>
  <si>
    <t>рж</t>
  </si>
  <si>
    <t xml:space="preserve">Жаркое по-домашнему </t>
  </si>
  <si>
    <t>Цена, руб.</t>
  </si>
  <si>
    <t>_____________________ Ефимова Г.В.</t>
  </si>
  <si>
    <t>Компот из смеси сухофруктов</t>
  </si>
  <si>
    <t>Директор МКОУ СОШ № 16 г. Бирюсинска</t>
  </si>
  <si>
    <t>"____" __________________ 2025 г.</t>
  </si>
  <si>
    <t>Какао с молоком</t>
  </si>
  <si>
    <t>54-7гн-2020</t>
  </si>
  <si>
    <t>Компот из кураги</t>
  </si>
  <si>
    <t>54-5хн-2020</t>
  </si>
  <si>
    <t>Гуляш из мяса птицы</t>
  </si>
  <si>
    <t>54-7з-2020</t>
  </si>
  <si>
    <t>Шоколад" Аленка"</t>
  </si>
  <si>
    <t>Конфета шоколадная</t>
  </si>
  <si>
    <t>54-3з-2020</t>
  </si>
  <si>
    <t>Горошек зелёный</t>
  </si>
  <si>
    <t>54-20з-2020</t>
  </si>
  <si>
    <t>Салат из свежих помидоров и огурцов</t>
  </si>
  <si>
    <t>54-5з-2020</t>
  </si>
  <si>
    <t>Салат витаминный</t>
  </si>
  <si>
    <t>Напиток лимонный</t>
  </si>
  <si>
    <t>Икра свекольная</t>
  </si>
  <si>
    <t>54-15з-2020</t>
  </si>
  <si>
    <t>Рыба, припущенная в молоке (минтай)</t>
  </si>
  <si>
    <t>54-7р-2020</t>
  </si>
  <si>
    <t>Чай черный байховый сахаром</t>
  </si>
  <si>
    <t>Котлета "Здоровье" с соусом молочным натуральным</t>
  </si>
  <si>
    <t>67; 54-5соус-2020</t>
  </si>
  <si>
    <t>Котлета из курицы с соусом сметанным натуральным</t>
  </si>
  <si>
    <t>54-5м-2020; 54-4соус-2020</t>
  </si>
  <si>
    <t>54-3г-2021</t>
  </si>
  <si>
    <t>54-11г-2019</t>
  </si>
  <si>
    <t>Чай черный байховый с лимонои и сахаром</t>
  </si>
  <si>
    <t>54-19з-2020</t>
  </si>
  <si>
    <t>Итого:</t>
  </si>
  <si>
    <t>Салат из свежих помидоров</t>
  </si>
  <si>
    <t>Винегрет с растительным маслом</t>
  </si>
  <si>
    <t>54-16з-2020</t>
  </si>
  <si>
    <t>Салат из свежих огурцов</t>
  </si>
  <si>
    <t>Салат из белокочанной капусты</t>
  </si>
  <si>
    <t>Кисель из ягод клюквы</t>
  </si>
  <si>
    <t>Тефтели из говядины с рисом с соусом красным основным</t>
  </si>
  <si>
    <t>в весенне-летний период 2024-2025 г.</t>
  </si>
  <si>
    <t>Тефтели из говядины с рисом  с соусом красным основным</t>
  </si>
  <si>
    <t>Каша вязкая молочная овсяная с курагой</t>
  </si>
  <si>
    <t>54-11к-2020</t>
  </si>
  <si>
    <t>Каша вязкая молочная овсяная с курагй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</si>
</sst>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rgb="FF000000"/>
      <name val="Calibri"/>
      <family val="2"/>
      <charset val="204"/>
    </font>
    <font>
      <b/>
      <sz val="2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1"/>
      <color rgb="FF000000"/>
      <name val="Calibri"/>
      <family val="2"/>
      <charset val="204"/>
    </font>
    <font>
      <b/>
      <i/>
      <sz val="14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Calibri"/>
      <family val="2"/>
      <charset val="204"/>
    </font>
    <font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sz val="11"/>
      <color theme="0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8">
    <xf numFmtId="0" fontId="0" fillId="0" borderId="0" xfId="0"/>
    <xf numFmtId="0" fontId="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12" fillId="0" borderId="12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14" fillId="0" borderId="0" xfId="0" applyFont="1"/>
    <xf numFmtId="0" fontId="17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0" fillId="0" borderId="0" xfId="0" applyBorder="1"/>
    <xf numFmtId="0" fontId="1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center"/>
    </xf>
    <xf numFmtId="0" fontId="17" fillId="0" borderId="12" xfId="0" applyNumberFormat="1" applyFont="1" applyFill="1" applyBorder="1" applyAlignment="1" applyProtection="1">
      <alignment horizontal="left"/>
    </xf>
    <xf numFmtId="0" fontId="17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left"/>
    </xf>
    <xf numFmtId="0" fontId="12" fillId="0" borderId="12" xfId="0" applyNumberFormat="1" applyFont="1" applyFill="1" applyBorder="1" applyAlignment="1" applyProtection="1">
      <alignment vertical="center"/>
    </xf>
    <xf numFmtId="0" fontId="12" fillId="0" borderId="12" xfId="0" applyNumberFormat="1" applyFont="1" applyFill="1" applyBorder="1" applyAlignment="1" applyProtection="1">
      <alignment horizontal="center"/>
    </xf>
    <xf numFmtId="0" fontId="17" fillId="2" borderId="6" xfId="0" applyNumberFormat="1" applyFont="1" applyFill="1" applyBorder="1" applyAlignment="1" applyProtection="1">
      <alignment vertical="center"/>
    </xf>
    <xf numFmtId="0" fontId="12" fillId="2" borderId="6" xfId="0" applyNumberFormat="1" applyFont="1" applyFill="1" applyBorder="1" applyAlignment="1" applyProtection="1">
      <alignment vertical="center"/>
    </xf>
    <xf numFmtId="0" fontId="17" fillId="2" borderId="6" xfId="0" applyNumberFormat="1" applyFont="1" applyFill="1" applyBorder="1" applyAlignment="1" applyProtection="1">
      <alignment horizontal="center"/>
    </xf>
    <xf numFmtId="0" fontId="17" fillId="0" borderId="0" xfId="0" applyFont="1"/>
    <xf numFmtId="0" fontId="2" fillId="0" borderId="0" xfId="0" applyNumberFormat="1" applyFont="1" applyFill="1" applyBorder="1" applyAlignment="1" applyProtection="1"/>
    <xf numFmtId="0" fontId="2" fillId="0" borderId="0" xfId="0" applyFont="1"/>
    <xf numFmtId="0" fontId="17" fillId="0" borderId="6" xfId="0" applyNumberFormat="1" applyFont="1" applyFill="1" applyBorder="1" applyAlignment="1" applyProtection="1">
      <alignment horizontal="center" vertical="center"/>
    </xf>
    <xf numFmtId="2" fontId="17" fillId="0" borderId="6" xfId="0" applyNumberFormat="1" applyFont="1" applyFill="1" applyBorder="1" applyAlignment="1" applyProtection="1">
      <alignment horizontal="center" vertical="center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2" fontId="17" fillId="2" borderId="6" xfId="0" applyNumberFormat="1" applyFont="1" applyFill="1" applyBorder="1" applyAlignment="1" applyProtection="1"/>
    <xf numFmtId="2" fontId="17" fillId="2" borderId="6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17" fillId="0" borderId="6" xfId="0" applyNumberFormat="1" applyFont="1" applyBorder="1" applyAlignment="1">
      <alignment horizontal="center" vertical="center"/>
    </xf>
    <xf numFmtId="2" fontId="17" fillId="0" borderId="6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2" fontId="17" fillId="0" borderId="0" xfId="0" applyNumberFormat="1" applyFont="1" applyFill="1" applyBorder="1" applyAlignment="1" applyProtection="1"/>
    <xf numFmtId="0" fontId="17" fillId="0" borderId="6" xfId="0" applyFont="1" applyBorder="1" applyAlignment="1">
      <alignment horizontal="center" vertical="center"/>
    </xf>
    <xf numFmtId="0" fontId="17" fillId="2" borderId="6" xfId="0" applyNumberFormat="1" applyFont="1" applyFill="1" applyBorder="1" applyAlignment="1" applyProtection="1">
      <alignment wrapText="1"/>
    </xf>
    <xf numFmtId="0" fontId="17" fillId="2" borderId="6" xfId="0" applyNumberFormat="1" applyFont="1" applyFill="1" applyBorder="1" applyAlignment="1" applyProtection="1">
      <alignment horizontal="center" vertical="center"/>
    </xf>
    <xf numFmtId="0" fontId="17" fillId="2" borderId="6" xfId="0" applyNumberFormat="1" applyFont="1" applyFill="1" applyBorder="1" applyAlignment="1" applyProtection="1">
      <alignment vertical="center" wrapText="1"/>
    </xf>
    <xf numFmtId="2" fontId="17" fillId="2" borderId="6" xfId="0" applyNumberFormat="1" applyFont="1" applyFill="1" applyBorder="1" applyAlignment="1" applyProtection="1">
      <alignment horizontal="center" vertical="center"/>
    </xf>
    <xf numFmtId="0" fontId="17" fillId="2" borderId="6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left"/>
    </xf>
    <xf numFmtId="0" fontId="0" fillId="0" borderId="0" xfId="0" applyFill="1"/>
    <xf numFmtId="0" fontId="22" fillId="0" borderId="0" xfId="0" applyFont="1" applyFill="1" applyBorder="1"/>
    <xf numFmtId="0" fontId="23" fillId="4" borderId="6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" fillId="0" borderId="6" xfId="0" applyFont="1" applyBorder="1"/>
    <xf numFmtId="0" fontId="2" fillId="0" borderId="6" xfId="0" applyFont="1" applyFill="1" applyBorder="1"/>
    <xf numFmtId="0" fontId="2" fillId="0" borderId="6" xfId="0" applyFont="1" applyBorder="1" applyAlignment="1">
      <alignment wrapText="1"/>
    </xf>
    <xf numFmtId="0" fontId="17" fillId="2" borderId="6" xfId="0" applyFont="1" applyFill="1" applyBorder="1" applyAlignment="1">
      <alignment vertical="center" textRotation="90" wrapText="1"/>
    </xf>
    <xf numFmtId="0" fontId="24" fillId="0" borderId="6" xfId="0" applyFont="1" applyBorder="1"/>
    <xf numFmtId="0" fontId="25" fillId="0" borderId="6" xfId="0" applyFont="1" applyBorder="1"/>
    <xf numFmtId="2" fontId="25" fillId="0" borderId="6" xfId="0" applyNumberFormat="1" applyFont="1" applyBorder="1"/>
    <xf numFmtId="0" fontId="26" fillId="0" borderId="6" xfId="0" applyFont="1" applyBorder="1"/>
    <xf numFmtId="0" fontId="17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/>
    </xf>
    <xf numFmtId="2" fontId="27" fillId="0" borderId="0" xfId="0" applyNumberFormat="1" applyFont="1" applyFill="1" applyBorder="1" applyAlignment="1" applyProtection="1"/>
    <xf numFmtId="2" fontId="17" fillId="0" borderId="0" xfId="0" applyNumberFormat="1" applyFont="1" applyFill="1" applyBorder="1" applyAlignment="1" applyProtection="1">
      <alignment horizontal="center"/>
    </xf>
    <xf numFmtId="2" fontId="27" fillId="0" borderId="0" xfId="0" applyNumberFormat="1" applyFont="1" applyBorder="1"/>
    <xf numFmtId="0" fontId="17" fillId="0" borderId="12" xfId="0" applyNumberFormat="1" applyFont="1" applyFill="1" applyBorder="1" applyAlignment="1" applyProtection="1">
      <alignment horizontal="center"/>
    </xf>
    <xf numFmtId="2" fontId="17" fillId="0" borderId="12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/>
    </xf>
    <xf numFmtId="2" fontId="17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2" fontId="27" fillId="2" borderId="6" xfId="0" applyNumberFormat="1" applyFont="1" applyFill="1" applyBorder="1"/>
    <xf numFmtId="2" fontId="27" fillId="2" borderId="6" xfId="0" applyNumberFormat="1" applyFont="1" applyFill="1" applyBorder="1" applyAlignment="1" applyProtection="1"/>
    <xf numFmtId="2" fontId="26" fillId="2" borderId="6" xfId="0" applyNumberFormat="1" applyFont="1" applyFill="1" applyBorder="1"/>
    <xf numFmtId="0" fontId="14" fillId="0" borderId="0" xfId="0" applyFont="1" applyBorder="1"/>
    <xf numFmtId="0" fontId="24" fillId="0" borderId="0" xfId="0" applyFont="1"/>
    <xf numFmtId="0" fontId="25" fillId="0" borderId="0" xfId="0" applyFont="1"/>
    <xf numFmtId="0" fontId="24" fillId="0" borderId="0" xfId="0" applyNumberFormat="1" applyFont="1" applyFill="1" applyBorder="1" applyAlignment="1" applyProtection="1"/>
    <xf numFmtId="0" fontId="24" fillId="0" borderId="0" xfId="0" applyFont="1" applyBorder="1"/>
    <xf numFmtId="0" fontId="26" fillId="0" borderId="0" xfId="0" applyNumberFormat="1" applyFont="1" applyFill="1" applyBorder="1" applyAlignment="1" applyProtection="1"/>
    <xf numFmtId="0" fontId="27" fillId="0" borderId="6" xfId="0" applyFont="1" applyBorder="1"/>
    <xf numFmtId="2" fontId="25" fillId="0" borderId="6" xfId="0" applyNumberFormat="1" applyFont="1" applyFill="1" applyBorder="1"/>
    <xf numFmtId="0" fontId="17" fillId="0" borderId="0" xfId="0" applyFont="1" applyFill="1"/>
    <xf numFmtId="0" fontId="17" fillId="0" borderId="6" xfId="0" applyNumberFormat="1" applyFont="1" applyFill="1" applyBorder="1" applyAlignment="1">
      <alignment horizontal="center" vertical="center"/>
    </xf>
    <xf numFmtId="2" fontId="17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/>
    </xf>
    <xf numFmtId="0" fontId="17" fillId="0" borderId="9" xfId="0" applyNumberFormat="1" applyFont="1" applyFill="1" applyBorder="1" applyAlignment="1" applyProtection="1">
      <alignment horizontal="center"/>
    </xf>
    <xf numFmtId="0" fontId="17" fillId="0" borderId="11" xfId="0" applyNumberFormat="1" applyFont="1" applyFill="1" applyBorder="1" applyAlignment="1" applyProtection="1">
      <alignment horizontal="center"/>
    </xf>
    <xf numFmtId="0" fontId="17" fillId="0" borderId="7" xfId="0" applyNumberFormat="1" applyFont="1" applyFill="1" applyBorder="1" applyAlignment="1" applyProtection="1">
      <alignment horizontal="center"/>
    </xf>
    <xf numFmtId="0" fontId="17" fillId="0" borderId="10" xfId="0" applyNumberFormat="1" applyFont="1" applyFill="1" applyBorder="1" applyAlignment="1" applyProtection="1">
      <alignment horizontal="center"/>
    </xf>
    <xf numFmtId="2" fontId="24" fillId="0" borderId="6" xfId="0" applyNumberFormat="1" applyFont="1" applyBorder="1"/>
    <xf numFmtId="2" fontId="25" fillId="0" borderId="6" xfId="0" applyNumberFormat="1" applyFont="1" applyFill="1" applyBorder="1" applyAlignment="1" applyProtection="1"/>
    <xf numFmtId="2" fontId="28" fillId="0" borderId="6" xfId="0" applyNumberFormat="1" applyFont="1" applyBorder="1"/>
    <xf numFmtId="1" fontId="17" fillId="2" borderId="6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/>
    </xf>
    <xf numFmtId="0" fontId="25" fillId="0" borderId="3" xfId="0" applyFont="1" applyBorder="1"/>
    <xf numFmtId="2" fontId="25" fillId="0" borderId="3" xfId="0" applyNumberFormat="1" applyFont="1" applyBorder="1"/>
    <xf numFmtId="2" fontId="25" fillId="0" borderId="3" xfId="0" applyNumberFormat="1" applyFont="1" applyFill="1" applyBorder="1"/>
    <xf numFmtId="2" fontId="26" fillId="2" borderId="3" xfId="0" applyNumberFormat="1" applyFont="1" applyFill="1" applyBorder="1"/>
    <xf numFmtId="0" fontId="0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2" fontId="17" fillId="0" borderId="6" xfId="0" applyNumberFormat="1" applyFont="1" applyFill="1" applyBorder="1" applyAlignment="1" applyProtection="1">
      <alignment horizontal="center"/>
    </xf>
    <xf numFmtId="2" fontId="2" fillId="0" borderId="6" xfId="0" applyNumberFormat="1" applyFont="1" applyFill="1" applyBorder="1" applyAlignment="1" applyProtection="1">
      <alignment horizontal="center"/>
    </xf>
    <xf numFmtId="2" fontId="17" fillId="0" borderId="6" xfId="0" applyNumberFormat="1" applyFont="1" applyBorder="1" applyAlignment="1">
      <alignment horizontal="center"/>
    </xf>
    <xf numFmtId="2" fontId="15" fillId="0" borderId="6" xfId="0" applyNumberFormat="1" applyFont="1" applyFill="1" applyBorder="1" applyAlignment="1" applyProtection="1">
      <alignment horizontal="center"/>
    </xf>
    <xf numFmtId="2" fontId="17" fillId="0" borderId="6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 applyProtection="1">
      <alignment horizontal="center"/>
    </xf>
    <xf numFmtId="2" fontId="17" fillId="0" borderId="3" xfId="0" applyNumberFormat="1" applyFont="1" applyFill="1" applyBorder="1" applyAlignment="1">
      <alignment horizontal="center"/>
    </xf>
    <xf numFmtId="2" fontId="17" fillId="0" borderId="3" xfId="0" applyNumberFormat="1" applyFont="1" applyFill="1" applyBorder="1" applyAlignment="1" applyProtection="1">
      <alignment horizontal="center"/>
    </xf>
    <xf numFmtId="0" fontId="7" fillId="0" borderId="3" xfId="0" applyNumberFormat="1" applyFont="1" applyFill="1" applyBorder="1" applyAlignment="1" applyProtection="1">
      <alignment horizontal="center"/>
    </xf>
    <xf numFmtId="2" fontId="2" fillId="0" borderId="3" xfId="0" applyNumberFormat="1" applyFont="1" applyFill="1" applyBorder="1" applyAlignment="1" applyProtection="1">
      <alignment horizontal="center"/>
    </xf>
    <xf numFmtId="0" fontId="17" fillId="0" borderId="7" xfId="0" applyNumberFormat="1" applyFont="1" applyFill="1" applyBorder="1" applyAlignment="1" applyProtection="1">
      <alignment horizontal="center"/>
    </xf>
    <xf numFmtId="0" fontId="17" fillId="0" borderId="10" xfId="0" applyNumberFormat="1" applyFont="1" applyFill="1" applyBorder="1" applyAlignment="1" applyProtection="1">
      <alignment horizontal="center"/>
    </xf>
    <xf numFmtId="0" fontId="17" fillId="0" borderId="9" xfId="0" applyNumberFormat="1" applyFont="1" applyFill="1" applyBorder="1" applyAlignment="1" applyProtection="1">
      <alignment horizontal="center"/>
    </xf>
    <xf numFmtId="0" fontId="17" fillId="0" borderId="11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17" fillId="0" borderId="9" xfId="0" applyNumberFormat="1" applyFont="1" applyFill="1" applyBorder="1" applyAlignment="1" applyProtection="1">
      <alignment horizontal="center"/>
    </xf>
    <xf numFmtId="0" fontId="17" fillId="0" borderId="11" xfId="0" applyNumberFormat="1" applyFont="1" applyFill="1" applyBorder="1" applyAlignment="1" applyProtection="1">
      <alignment horizontal="center"/>
    </xf>
    <xf numFmtId="0" fontId="15" fillId="0" borderId="6" xfId="0" applyNumberFormat="1" applyFont="1" applyFill="1" applyBorder="1" applyAlignment="1" applyProtection="1"/>
    <xf numFmtId="0" fontId="15" fillId="0" borderId="7" xfId="0" applyNumberFormat="1" applyFont="1" applyFill="1" applyBorder="1" applyAlignment="1" applyProtection="1">
      <alignment horizontal="center"/>
    </xf>
    <xf numFmtId="0" fontId="15" fillId="0" borderId="10" xfId="0" applyNumberFormat="1" applyFont="1" applyFill="1" applyBorder="1" applyAlignment="1" applyProtection="1">
      <alignment horizontal="center"/>
    </xf>
    <xf numFmtId="0" fontId="15" fillId="0" borderId="8" xfId="0" applyNumberFormat="1" applyFont="1" applyFill="1" applyBorder="1" applyAlignment="1" applyProtection="1">
      <alignment horizontal="center"/>
    </xf>
    <xf numFmtId="0" fontId="15" fillId="0" borderId="5" xfId="0" applyNumberFormat="1" applyFont="1" applyFill="1" applyBorder="1" applyAlignment="1" applyProtection="1">
      <alignment horizontal="center"/>
    </xf>
    <xf numFmtId="0" fontId="7" fillId="0" borderId="3" xfId="0" applyFont="1" applyFill="1" applyBorder="1" applyAlignment="1">
      <alignment horizontal="center"/>
    </xf>
    <xf numFmtId="2" fontId="15" fillId="0" borderId="6" xfId="0" applyNumberFormat="1" applyFont="1" applyFill="1" applyBorder="1" applyAlignment="1" applyProtection="1"/>
    <xf numFmtId="2" fontId="15" fillId="2" borderId="6" xfId="0" applyNumberFormat="1" applyFont="1" applyFill="1" applyBorder="1" applyAlignment="1" applyProtection="1"/>
    <xf numFmtId="2" fontId="17" fillId="0" borderId="6" xfId="0" applyNumberFormat="1" applyFont="1" applyFill="1" applyBorder="1" applyAlignment="1" applyProtection="1"/>
    <xf numFmtId="2" fontId="6" fillId="0" borderId="0" xfId="0" applyNumberFormat="1" applyFont="1" applyFill="1" applyBorder="1" applyAlignment="1" applyProtection="1"/>
    <xf numFmtId="2" fontId="15" fillId="0" borderId="0" xfId="0" applyNumberFormat="1" applyFont="1" applyFill="1" applyBorder="1" applyAlignment="1" applyProtection="1"/>
    <xf numFmtId="0" fontId="7" fillId="0" borderId="15" xfId="0" applyFont="1" applyFill="1" applyBorder="1" applyAlignment="1">
      <alignment horizontal="center"/>
    </xf>
    <xf numFmtId="0" fontId="7" fillId="0" borderId="15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left" indent="1"/>
    </xf>
    <xf numFmtId="0" fontId="15" fillId="0" borderId="8" xfId="0" applyNumberFormat="1" applyFont="1" applyFill="1" applyBorder="1" applyAlignment="1" applyProtection="1">
      <alignment horizontal="left" indent="1"/>
    </xf>
    <xf numFmtId="0" fontId="15" fillId="0" borderId="5" xfId="0" applyNumberFormat="1" applyFont="1" applyFill="1" applyBorder="1" applyAlignment="1" applyProtection="1">
      <alignment horizontal="left" indent="1"/>
    </xf>
    <xf numFmtId="0" fontId="7" fillId="0" borderId="3" xfId="0" applyFont="1" applyFill="1" applyBorder="1" applyAlignment="1">
      <alignment horizontal="left" indent="1"/>
    </xf>
    <xf numFmtId="0" fontId="27" fillId="0" borderId="6" xfId="0" applyFont="1" applyBorder="1" applyAlignment="1">
      <alignment horizontal="left" indent="1"/>
    </xf>
    <xf numFmtId="2" fontId="17" fillId="0" borderId="6" xfId="0" applyNumberFormat="1" applyFont="1" applyFill="1" applyBorder="1" applyAlignment="1" applyProtection="1">
      <alignment horizontal="left" vertical="center" indent="1"/>
    </xf>
    <xf numFmtId="2" fontId="15" fillId="0" borderId="6" xfId="0" applyNumberFormat="1" applyFont="1" applyFill="1" applyBorder="1" applyAlignment="1" applyProtection="1">
      <alignment horizontal="left" indent="1"/>
    </xf>
    <xf numFmtId="0" fontId="15" fillId="0" borderId="6" xfId="0" applyNumberFormat="1" applyFont="1" applyFill="1" applyBorder="1" applyAlignment="1" applyProtection="1">
      <alignment horizontal="left" indent="1"/>
    </xf>
    <xf numFmtId="2" fontId="2" fillId="0" borderId="6" xfId="0" applyNumberFormat="1" applyFont="1" applyFill="1" applyBorder="1" applyAlignment="1" applyProtection="1">
      <alignment horizontal="left" vertical="center" indent="1"/>
    </xf>
    <xf numFmtId="0" fontId="2" fillId="0" borderId="1" xfId="0" applyNumberFormat="1" applyFont="1" applyFill="1" applyBorder="1" applyAlignment="1" applyProtection="1">
      <alignment horizontal="left" vertical="center" wrapText="1" indent="1"/>
    </xf>
    <xf numFmtId="2" fontId="2" fillId="0" borderId="6" xfId="0" applyNumberFormat="1" applyFont="1" applyFill="1" applyBorder="1" applyAlignment="1" applyProtection="1">
      <alignment horizontal="left" indent="1"/>
    </xf>
    <xf numFmtId="0" fontId="2" fillId="0" borderId="6" xfId="0" applyNumberFormat="1" applyFont="1" applyFill="1" applyBorder="1" applyAlignment="1" applyProtection="1">
      <alignment horizontal="left" indent="1"/>
    </xf>
    <xf numFmtId="0" fontId="17" fillId="2" borderId="6" xfId="0" applyNumberFormat="1" applyFont="1" applyFill="1" applyBorder="1" applyAlignment="1" applyProtection="1">
      <alignment horizontal="left" indent="1"/>
    </xf>
    <xf numFmtId="2" fontId="17" fillId="2" borderId="6" xfId="0" applyNumberFormat="1" applyFont="1" applyFill="1" applyBorder="1" applyAlignment="1" applyProtection="1">
      <alignment horizontal="left" indent="1"/>
    </xf>
    <xf numFmtId="2" fontId="15" fillId="2" borderId="6" xfId="0" applyNumberFormat="1" applyFont="1" applyFill="1" applyBorder="1" applyAlignment="1" applyProtection="1">
      <alignment horizontal="left" indent="1"/>
    </xf>
    <xf numFmtId="0" fontId="12" fillId="0" borderId="0" xfId="0" applyNumberFormat="1" applyFont="1" applyFill="1" applyBorder="1" applyAlignment="1" applyProtection="1">
      <alignment horizontal="left"/>
    </xf>
    <xf numFmtId="0" fontId="17" fillId="0" borderId="0" xfId="0" applyNumberFormat="1" applyFont="1" applyFill="1" applyBorder="1" applyAlignment="1" applyProtection="1">
      <alignment horizontal="center"/>
    </xf>
    <xf numFmtId="2" fontId="27" fillId="0" borderId="0" xfId="0" applyNumberFormat="1" applyFont="1" applyFill="1" applyBorder="1"/>
    <xf numFmtId="0" fontId="17" fillId="0" borderId="12" xfId="0" applyNumberFormat="1" applyFont="1" applyFill="1" applyBorder="1" applyAlignment="1" applyProtection="1">
      <alignment vertical="center"/>
    </xf>
    <xf numFmtId="2" fontId="17" fillId="0" borderId="7" xfId="0" applyNumberFormat="1" applyFont="1" applyFill="1" applyBorder="1" applyAlignment="1" applyProtection="1">
      <alignment horizontal="center"/>
    </xf>
    <xf numFmtId="0" fontId="17" fillId="0" borderId="0" xfId="0" applyFont="1" applyFill="1" applyBorder="1"/>
    <xf numFmtId="0" fontId="14" fillId="0" borderId="0" xfId="0" applyFont="1" applyFill="1"/>
    <xf numFmtId="0" fontId="17" fillId="0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horizontal="center" wrapText="1"/>
    </xf>
    <xf numFmtId="0" fontId="31" fillId="0" borderId="0" xfId="0" applyNumberFormat="1" applyFont="1" applyFill="1" applyBorder="1" applyAlignment="1" applyProtection="1">
      <alignment horizontal="center"/>
    </xf>
    <xf numFmtId="0" fontId="31" fillId="0" borderId="0" xfId="0" applyFont="1"/>
    <xf numFmtId="0" fontId="31" fillId="0" borderId="0" xfId="0" applyNumberFormat="1" applyFont="1" applyFill="1" applyBorder="1" applyAlignment="1" applyProtection="1"/>
    <xf numFmtId="0" fontId="31" fillId="0" borderId="0" xfId="0" applyFont="1" applyFill="1"/>
    <xf numFmtId="0" fontId="29" fillId="0" borderId="0" xfId="0" applyFont="1"/>
    <xf numFmtId="0" fontId="17" fillId="0" borderId="0" xfId="0" applyNumberFormat="1" applyFont="1" applyFill="1" applyBorder="1" applyAlignment="1" applyProtection="1">
      <alignment horizontal="center"/>
    </xf>
    <xf numFmtId="2" fontId="17" fillId="0" borderId="3" xfId="0" applyNumberFormat="1" applyFont="1" applyBorder="1" applyAlignment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29" fillId="0" borderId="0" xfId="0" applyFont="1" applyFill="1"/>
    <xf numFmtId="0" fontId="30" fillId="0" borderId="0" xfId="0" applyNumberFormat="1" applyFont="1" applyFill="1" applyBorder="1" applyAlignment="1" applyProtection="1">
      <alignment horizontal="center" vertical="center"/>
    </xf>
    <xf numFmtId="2" fontId="30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2" fontId="32" fillId="0" borderId="0" xfId="0" applyNumberFormat="1" applyFont="1" applyFill="1" applyBorder="1" applyAlignment="1" applyProtection="1"/>
    <xf numFmtId="0" fontId="32" fillId="0" borderId="0" xfId="0" applyNumberFormat="1" applyFont="1" applyFill="1" applyBorder="1" applyAlignment="1" applyProtection="1"/>
    <xf numFmtId="2" fontId="29" fillId="0" borderId="0" xfId="0" applyNumberFormat="1" applyFont="1" applyBorder="1"/>
    <xf numFmtId="0" fontId="31" fillId="0" borderId="0" xfId="0" applyFont="1" applyBorder="1"/>
    <xf numFmtId="2" fontId="25" fillId="0" borderId="6" xfId="0" applyNumberFormat="1" applyFont="1" applyBorder="1" applyAlignment="1"/>
    <xf numFmtId="2" fontId="24" fillId="0" borderId="6" xfId="0" applyNumberFormat="1" applyFont="1" applyBorder="1" applyAlignment="1"/>
    <xf numFmtId="0" fontId="17" fillId="0" borderId="0" xfId="0" applyNumberFormat="1" applyFont="1" applyFill="1" applyBorder="1" applyAlignment="1" applyProtection="1">
      <alignment horizontal="center"/>
    </xf>
    <xf numFmtId="2" fontId="15" fillId="0" borderId="6" xfId="0" applyNumberFormat="1" applyFont="1" applyFill="1" applyBorder="1" applyAlignment="1" applyProtection="1">
      <alignment horizontal="right"/>
    </xf>
    <xf numFmtId="0" fontId="15" fillId="0" borderId="6" xfId="0" applyNumberFormat="1" applyFont="1" applyFill="1" applyBorder="1" applyAlignment="1" applyProtection="1">
      <alignment horizontal="right"/>
    </xf>
    <xf numFmtId="2" fontId="25" fillId="0" borderId="6" xfId="0" applyNumberFormat="1" applyFont="1" applyBorder="1" applyAlignment="1">
      <alignment horizontal="right"/>
    </xf>
    <xf numFmtId="0" fontId="30" fillId="0" borderId="0" xfId="0" applyNumberFormat="1" applyFont="1" applyFill="1" applyBorder="1" applyAlignment="1" applyProtection="1">
      <alignment wrapText="1"/>
    </xf>
    <xf numFmtId="2" fontId="15" fillId="0" borderId="6" xfId="0" applyNumberFormat="1" applyFont="1" applyBorder="1" applyAlignment="1">
      <alignment horizontal="left" indent="1"/>
    </xf>
    <xf numFmtId="0" fontId="15" fillId="0" borderId="6" xfId="0" applyFont="1" applyBorder="1" applyAlignment="1">
      <alignment horizontal="left" indent="1"/>
    </xf>
    <xf numFmtId="0" fontId="17" fillId="0" borderId="0" xfId="0" applyNumberFormat="1" applyFont="1" applyFill="1" applyBorder="1" applyAlignment="1" applyProtection="1">
      <alignment horizontal="center"/>
    </xf>
    <xf numFmtId="0" fontId="17" fillId="0" borderId="6" xfId="0" applyNumberFormat="1" applyFont="1" applyFill="1" applyBorder="1" applyAlignment="1" applyProtection="1">
      <alignment horizontal="center"/>
    </xf>
    <xf numFmtId="0" fontId="17" fillId="0" borderId="6" xfId="0" applyNumberFormat="1" applyFont="1" applyFill="1" applyBorder="1" applyAlignment="1" applyProtection="1">
      <alignment horizontal="center" vertical="center" textRotation="90" wrapText="1"/>
    </xf>
    <xf numFmtId="0" fontId="17" fillId="0" borderId="6" xfId="0" applyNumberFormat="1" applyFont="1" applyFill="1" applyBorder="1" applyAlignment="1" applyProtection="1">
      <alignment horizontal="left" indent="1"/>
    </xf>
    <xf numFmtId="0" fontId="17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>
      <alignment horizontal="center"/>
    </xf>
    <xf numFmtId="2" fontId="26" fillId="0" borderId="0" xfId="0" applyNumberFormat="1" applyFont="1" applyFill="1" applyBorder="1"/>
    <xf numFmtId="0" fontId="2" fillId="0" borderId="0" xfId="0" applyFont="1" applyFill="1"/>
    <xf numFmtId="0" fontId="7" fillId="0" borderId="6" xfId="0" applyNumberFormat="1" applyFont="1" applyFill="1" applyBorder="1" applyAlignment="1" applyProtection="1">
      <alignment horizontal="center"/>
    </xf>
    <xf numFmtId="2" fontId="27" fillId="2" borderId="6" xfId="0" applyNumberFormat="1" applyFont="1" applyFill="1" applyBorder="1" applyAlignment="1"/>
    <xf numFmtId="0" fontId="17" fillId="0" borderId="6" xfId="0" applyNumberFormat="1" applyFont="1" applyFill="1" applyBorder="1" applyAlignment="1" applyProtection="1">
      <alignment horizontal="left" vertical="center" wrapText="1" indent="1"/>
    </xf>
    <xf numFmtId="0" fontId="2" fillId="0" borderId="6" xfId="0" applyNumberFormat="1" applyFont="1" applyFill="1" applyBorder="1" applyAlignment="1" applyProtection="1">
      <alignment horizontal="left" vertical="center" wrapText="1" indent="1"/>
    </xf>
    <xf numFmtId="0" fontId="17" fillId="0" borderId="6" xfId="0" applyNumberFormat="1" applyFont="1" applyFill="1" applyBorder="1" applyAlignment="1" applyProtection="1">
      <alignment horizontal="left" vertical="center" wrapText="1"/>
    </xf>
    <xf numFmtId="0" fontId="17" fillId="0" borderId="6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17" fillId="0" borderId="6" xfId="0" applyFont="1" applyBorder="1" applyAlignment="1">
      <alignment horizontal="left" vertical="center" wrapText="1"/>
    </xf>
    <xf numFmtId="0" fontId="17" fillId="2" borderId="6" xfId="0" applyNumberFormat="1" applyFont="1" applyFill="1" applyBorder="1" applyAlignment="1" applyProtection="1">
      <alignment horizontal="left"/>
    </xf>
    <xf numFmtId="0" fontId="7" fillId="3" borderId="6" xfId="0" applyNumberFormat="1" applyFont="1" applyFill="1" applyBorder="1" applyAlignment="1" applyProtection="1">
      <alignment horizontal="center"/>
    </xf>
    <xf numFmtId="0" fontId="17" fillId="0" borderId="6" xfId="0" applyNumberFormat="1" applyFont="1" applyFill="1" applyBorder="1" applyAlignment="1" applyProtection="1">
      <alignment horizontal="center" vertical="center" textRotation="90" wrapText="1"/>
    </xf>
    <xf numFmtId="0" fontId="17" fillId="0" borderId="6" xfId="0" applyNumberFormat="1" applyFont="1" applyFill="1" applyBorder="1" applyAlignment="1" applyProtection="1">
      <alignment horizontal="center" wrapText="1"/>
    </xf>
    <xf numFmtId="0" fontId="17" fillId="0" borderId="6" xfId="0" applyNumberFormat="1" applyFont="1" applyFill="1" applyBorder="1" applyAlignment="1" applyProtection="1">
      <alignment horizontal="left" vertical="center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19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7" fillId="0" borderId="6" xfId="0" applyFont="1" applyFill="1" applyBorder="1" applyAlignment="1">
      <alignment horizontal="left" vertical="center"/>
    </xf>
    <xf numFmtId="0" fontId="17" fillId="0" borderId="6" xfId="0" applyFont="1" applyBorder="1" applyAlignment="1">
      <alignment horizontal="center" vertical="center" textRotation="90" wrapText="1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right"/>
    </xf>
    <xf numFmtId="0" fontId="15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center"/>
    </xf>
    <xf numFmtId="0" fontId="21" fillId="0" borderId="4" xfId="0" applyNumberFormat="1" applyFont="1" applyFill="1" applyBorder="1" applyAlignment="1" applyProtection="1">
      <alignment horizontal="center"/>
    </xf>
    <xf numFmtId="0" fontId="20" fillId="0" borderId="8" xfId="0" applyNumberFormat="1" applyFont="1" applyFill="1" applyBorder="1" applyAlignment="1" applyProtection="1">
      <alignment horizontal="center" wrapText="1"/>
    </xf>
    <xf numFmtId="0" fontId="20" fillId="0" borderId="12" xfId="0" applyNumberFormat="1" applyFont="1" applyFill="1" applyBorder="1" applyAlignment="1" applyProtection="1">
      <alignment horizontal="center" wrapText="1"/>
    </xf>
    <xf numFmtId="0" fontId="20" fillId="0" borderId="9" xfId="0" applyNumberFormat="1" applyFont="1" applyFill="1" applyBorder="1" applyAlignment="1" applyProtection="1">
      <alignment horizontal="center" wrapText="1"/>
    </xf>
    <xf numFmtId="0" fontId="20" fillId="0" borderId="13" xfId="0" applyNumberFormat="1" applyFont="1" applyFill="1" applyBorder="1" applyAlignment="1" applyProtection="1">
      <alignment horizontal="center" wrapText="1"/>
    </xf>
    <xf numFmtId="0" fontId="20" fillId="0" borderId="0" xfId="0" applyNumberFormat="1" applyFont="1" applyFill="1" applyBorder="1" applyAlignment="1" applyProtection="1">
      <alignment horizontal="center" wrapText="1"/>
    </xf>
    <xf numFmtId="0" fontId="20" fillId="0" borderId="15" xfId="0" applyNumberFormat="1" applyFont="1" applyFill="1" applyBorder="1" applyAlignment="1" applyProtection="1">
      <alignment horizontal="center" wrapText="1"/>
    </xf>
    <xf numFmtId="0" fontId="20" fillId="0" borderId="5" xfId="0" applyNumberFormat="1" applyFont="1" applyFill="1" applyBorder="1" applyAlignment="1" applyProtection="1">
      <alignment horizontal="center" wrapText="1"/>
    </xf>
    <xf numFmtId="0" fontId="20" fillId="0" borderId="4" xfId="0" applyNumberFormat="1" applyFont="1" applyFill="1" applyBorder="1" applyAlignment="1" applyProtection="1">
      <alignment horizontal="center" wrapText="1"/>
    </xf>
    <xf numFmtId="0" fontId="20" fillId="0" borderId="11" xfId="0" applyNumberFormat="1" applyFont="1" applyFill="1" applyBorder="1" applyAlignment="1" applyProtection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7" fillId="0" borderId="7" xfId="0" applyNumberFormat="1" applyFont="1" applyFill="1" applyBorder="1" applyAlignment="1" applyProtection="1">
      <alignment horizontal="center" vertical="center" textRotation="90"/>
    </xf>
    <xf numFmtId="0" fontId="17" fillId="0" borderId="14" xfId="0" applyNumberFormat="1" applyFont="1" applyFill="1" applyBorder="1" applyAlignment="1" applyProtection="1">
      <alignment horizontal="center" vertical="center" textRotation="90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7" fillId="0" borderId="6" xfId="0" applyNumberFormat="1" applyFont="1" applyFill="1" applyBorder="1" applyAlignment="1" applyProtection="1">
      <alignment vertical="center" wrapText="1"/>
    </xf>
    <xf numFmtId="0" fontId="7" fillId="3" borderId="6" xfId="0" applyFont="1" applyFill="1" applyBorder="1" applyAlignment="1">
      <alignment horizontal="center"/>
    </xf>
    <xf numFmtId="0" fontId="15" fillId="0" borderId="6" xfId="0" applyNumberFormat="1" applyFont="1" applyFill="1" applyBorder="1" applyAlignment="1" applyProtection="1">
      <alignment horizontal="center"/>
    </xf>
    <xf numFmtId="0" fontId="17" fillId="0" borderId="6" xfId="0" applyNumberFormat="1" applyFont="1" applyFill="1" applyBorder="1" applyAlignment="1" applyProtection="1">
      <alignment horizontal="center" vertical="center" textRotation="90"/>
    </xf>
    <xf numFmtId="0" fontId="17" fillId="0" borderId="6" xfId="0" applyFont="1" applyBorder="1" applyAlignment="1">
      <alignment vertical="center" wrapText="1"/>
    </xf>
    <xf numFmtId="0" fontId="17" fillId="2" borderId="6" xfId="0" applyNumberFormat="1" applyFont="1" applyFill="1" applyBorder="1" applyAlignment="1" applyProtection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6" xfId="0" applyFont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/>
    </xf>
    <xf numFmtId="0" fontId="30" fillId="0" borderId="0" xfId="0" applyNumberFormat="1" applyFont="1" applyFill="1" applyBorder="1" applyAlignment="1" applyProtection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7" fillId="0" borderId="6" xfId="0" applyNumberFormat="1" applyFont="1" applyFill="1" applyBorder="1" applyAlignment="1" applyProtection="1">
      <alignment horizontal="left" indent="1"/>
    </xf>
    <xf numFmtId="0" fontId="17" fillId="0" borderId="6" xfId="0" applyNumberFormat="1" applyFont="1" applyFill="1" applyBorder="1" applyAlignment="1" applyProtection="1">
      <alignment horizontal="left" wrapText="1" indent="1"/>
    </xf>
    <xf numFmtId="0" fontId="17" fillId="2" borderId="6" xfId="0" applyNumberFormat="1" applyFont="1" applyFill="1" applyBorder="1" applyAlignment="1" applyProtection="1">
      <alignment horizontal="left" indent="1"/>
    </xf>
    <xf numFmtId="0" fontId="15" fillId="0" borderId="6" xfId="0" applyNumberFormat="1" applyFont="1" applyFill="1" applyBorder="1" applyAlignment="1" applyProtection="1">
      <alignment horizontal="left" indent="1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25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5" fillId="0" borderId="6" xfId="0" applyFont="1" applyBorder="1" applyAlignment="1">
      <alignment horizontal="left" indent="1"/>
    </xf>
    <xf numFmtId="0" fontId="2" fillId="0" borderId="6" xfId="0" applyNumberFormat="1" applyFont="1" applyFill="1" applyBorder="1" applyAlignment="1" applyProtection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9" fillId="0" borderId="6" xfId="0" applyFont="1" applyBorder="1" applyAlignment="1">
      <alignment horizontal="center"/>
    </xf>
    <xf numFmtId="0" fontId="25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155"/>
  <sheetViews>
    <sheetView topLeftCell="A13" zoomScale="90" zoomScaleNormal="90" workbookViewId="0">
      <selection activeCell="C22" sqref="C22:J27"/>
    </sheetView>
  </sheetViews>
  <sheetFormatPr defaultColWidth="9.109375" defaultRowHeight="22.05" customHeight="1" x14ac:dyDescent="0.3"/>
  <cols>
    <col min="1" max="1" width="7.109375" style="1" customWidth="1"/>
    <col min="2" max="2" width="11" style="4" customWidth="1"/>
    <col min="3" max="3" width="9.109375" style="1" customWidth="1"/>
    <col min="4" max="4" width="42.44140625" style="1" customWidth="1"/>
    <col min="5" max="5" width="9.109375" style="1" customWidth="1"/>
    <col min="6" max="6" width="9" style="1" customWidth="1"/>
    <col min="7" max="7" width="9.44140625" style="1" customWidth="1"/>
    <col min="8" max="8" width="12.5546875" style="1" customWidth="1"/>
    <col min="9" max="9" width="12" style="1" customWidth="1"/>
    <col min="10" max="10" width="16.5546875" style="1" customWidth="1"/>
    <col min="11" max="11" width="11.6640625" style="131" hidden="1" customWidth="1"/>
    <col min="12" max="12" width="2.109375" style="131" customWidth="1"/>
    <col min="13" max="14" width="6.77734375" customWidth="1"/>
    <col min="15" max="15" width="8" customWidth="1"/>
    <col min="16" max="17" width="6.77734375" customWidth="1"/>
    <col min="18" max="18" width="8.21875" customWidth="1"/>
    <col min="19" max="19" width="8.33203125" customWidth="1"/>
    <col min="20" max="20" width="7.6640625" customWidth="1"/>
    <col min="21" max="21" width="7.44140625" customWidth="1"/>
    <col min="22" max="22" width="7.6640625" customWidth="1"/>
    <col min="23" max="25" width="6.77734375" customWidth="1"/>
    <col min="26" max="27" width="9.109375" customWidth="1"/>
  </cols>
  <sheetData>
    <row r="1" spans="2:28" ht="22.05" customHeight="1" x14ac:dyDescent="0.3">
      <c r="B1" s="243" t="s">
        <v>102</v>
      </c>
      <c r="C1" s="243"/>
      <c r="D1" s="243"/>
      <c r="E1" s="243"/>
      <c r="F1" s="243"/>
      <c r="G1" s="243"/>
      <c r="H1" s="243"/>
      <c r="I1" s="243"/>
      <c r="J1" s="243"/>
    </row>
    <row r="2" spans="2:28" ht="16.2" customHeight="1" x14ac:dyDescent="0.3">
      <c r="B2" s="248" t="s">
        <v>95</v>
      </c>
      <c r="C2" s="248"/>
      <c r="D2" s="248"/>
      <c r="E2" s="248"/>
      <c r="F2" s="248"/>
      <c r="G2" s="248"/>
      <c r="H2" s="248"/>
      <c r="I2" s="248"/>
      <c r="J2" s="248"/>
    </row>
    <row r="3" spans="2:28" ht="13.8" customHeight="1" x14ac:dyDescent="0.3">
      <c r="B3" s="249" t="s">
        <v>96</v>
      </c>
      <c r="C3" s="249"/>
      <c r="D3" s="249"/>
      <c r="E3" s="249"/>
      <c r="F3" s="249"/>
      <c r="G3" s="249"/>
      <c r="H3" s="249"/>
      <c r="I3" s="249"/>
      <c r="J3" s="249"/>
    </row>
    <row r="4" spans="2:28" ht="22.05" customHeight="1" x14ac:dyDescent="0.3">
      <c r="B4" s="34"/>
      <c r="C4" s="34"/>
      <c r="D4" s="34"/>
      <c r="E4" s="34"/>
      <c r="F4" s="34"/>
      <c r="G4" s="34"/>
      <c r="H4" s="34"/>
      <c r="I4" s="34"/>
      <c r="J4" s="34"/>
    </row>
    <row r="5" spans="2:28" ht="22.05" customHeight="1" x14ac:dyDescent="0.3">
      <c r="B5" s="34"/>
      <c r="C5" s="34"/>
      <c r="D5" s="34"/>
      <c r="E5" s="34"/>
      <c r="F5" s="34"/>
      <c r="G5" s="61"/>
      <c r="H5" s="244" t="s">
        <v>103</v>
      </c>
      <c r="I5" s="244"/>
      <c r="J5" s="244"/>
    </row>
    <row r="6" spans="2:28" ht="22.05" customHeight="1" x14ac:dyDescent="0.3">
      <c r="B6" s="34"/>
      <c r="C6" s="34"/>
      <c r="D6" s="34"/>
      <c r="E6" s="34"/>
      <c r="F6" s="34"/>
      <c r="G6" s="244" t="s">
        <v>183</v>
      </c>
      <c r="H6" s="244"/>
      <c r="I6" s="244"/>
      <c r="J6" s="244"/>
    </row>
    <row r="7" spans="2:28" ht="22.05" customHeight="1" x14ac:dyDescent="0.3">
      <c r="B7" s="34"/>
      <c r="C7" s="34"/>
      <c r="D7" s="34"/>
      <c r="E7" s="34"/>
      <c r="F7" s="34"/>
      <c r="G7" s="244" t="s">
        <v>181</v>
      </c>
      <c r="H7" s="244"/>
      <c r="I7" s="244"/>
      <c r="J7" s="244"/>
    </row>
    <row r="8" spans="2:28" ht="22.05" customHeight="1" x14ac:dyDescent="0.3">
      <c r="B8" s="33"/>
      <c r="C8" s="33"/>
      <c r="D8" s="33"/>
      <c r="E8" s="33"/>
      <c r="F8" s="33"/>
      <c r="G8" s="245" t="s">
        <v>184</v>
      </c>
      <c r="H8" s="245"/>
      <c r="I8" s="245"/>
      <c r="J8" s="245"/>
    </row>
    <row r="9" spans="2:28" ht="22.05" customHeight="1" x14ac:dyDescent="0.3">
      <c r="B9" s="33"/>
      <c r="C9" s="33"/>
      <c r="D9" s="33"/>
      <c r="E9" s="33"/>
      <c r="F9" s="33"/>
      <c r="G9" s="33"/>
      <c r="H9" s="33"/>
      <c r="I9" s="33"/>
      <c r="J9" s="33"/>
    </row>
    <row r="10" spans="2:28" ht="22.05" customHeight="1" x14ac:dyDescent="0.45">
      <c r="B10" s="32"/>
      <c r="C10" s="32"/>
      <c r="D10" s="32"/>
      <c r="E10" s="32"/>
      <c r="F10" s="32"/>
      <c r="G10" s="32"/>
      <c r="H10" s="32"/>
      <c r="I10" s="32"/>
      <c r="J10" s="26"/>
      <c r="K10" s="187" t="s">
        <v>164</v>
      </c>
      <c r="L10" s="187"/>
      <c r="M10" s="188">
        <v>0.123</v>
      </c>
      <c r="N10" s="188">
        <v>7.5999999999999998E-2</v>
      </c>
      <c r="O10" s="188">
        <v>0</v>
      </c>
      <c r="P10" s="188">
        <v>1.68</v>
      </c>
      <c r="Q10" s="188">
        <v>0.06</v>
      </c>
      <c r="R10" s="188">
        <v>141.9</v>
      </c>
      <c r="S10" s="188">
        <v>37.5</v>
      </c>
      <c r="T10" s="188">
        <v>1.47</v>
      </c>
      <c r="U10" s="188">
        <v>12.3</v>
      </c>
      <c r="V10" s="188">
        <v>38.700000000000003</v>
      </c>
      <c r="W10" s="188">
        <v>1.08</v>
      </c>
      <c r="X10" s="188">
        <v>0</v>
      </c>
      <c r="Y10" s="188">
        <v>8.64</v>
      </c>
      <c r="Z10" s="188"/>
      <c r="AA10" s="188"/>
      <c r="AB10" s="188"/>
    </row>
    <row r="11" spans="2:28" ht="22.05" customHeight="1" x14ac:dyDescent="0.45">
      <c r="B11" s="32"/>
      <c r="C11" s="32"/>
      <c r="D11" s="32"/>
      <c r="E11" s="32"/>
      <c r="F11" s="32"/>
      <c r="G11" s="32"/>
      <c r="H11" s="32"/>
      <c r="I11" s="32"/>
      <c r="J11" s="26"/>
      <c r="K11" s="187" t="s">
        <v>165</v>
      </c>
      <c r="L11" s="187"/>
      <c r="M11" s="188">
        <v>0.13</v>
      </c>
      <c r="N11" s="188">
        <v>0.1</v>
      </c>
      <c r="O11" s="188">
        <v>0</v>
      </c>
      <c r="P11" s="188">
        <v>1.1399999999999999</v>
      </c>
      <c r="Q11" s="188">
        <v>0.12</v>
      </c>
      <c r="R11" s="188">
        <v>180.9</v>
      </c>
      <c r="S11" s="188">
        <v>21.9</v>
      </c>
      <c r="T11" s="188">
        <v>0.36</v>
      </c>
      <c r="U11" s="188">
        <v>12</v>
      </c>
      <c r="V11" s="188">
        <v>37.5</v>
      </c>
      <c r="W11" s="188">
        <v>0.85</v>
      </c>
      <c r="X11" s="188">
        <v>0</v>
      </c>
      <c r="Y11" s="188">
        <v>9.27</v>
      </c>
      <c r="Z11" s="188"/>
      <c r="AA11" s="188"/>
      <c r="AB11" s="188"/>
    </row>
    <row r="12" spans="2:28" ht="22.05" customHeight="1" x14ac:dyDescent="0.4">
      <c r="B12" s="250" t="s">
        <v>97</v>
      </c>
      <c r="C12" s="251"/>
      <c r="D12" s="251"/>
      <c r="E12" s="251"/>
      <c r="F12" s="251"/>
      <c r="G12" s="251"/>
      <c r="H12" s="251"/>
      <c r="I12" s="251"/>
      <c r="J12" s="252"/>
      <c r="K12" s="132"/>
      <c r="L12" s="132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2:28" ht="22.05" customHeight="1" x14ac:dyDescent="0.4">
      <c r="B13" s="253" t="s">
        <v>93</v>
      </c>
      <c r="C13" s="254"/>
      <c r="D13" s="254"/>
      <c r="E13" s="254"/>
      <c r="F13" s="254"/>
      <c r="G13" s="254"/>
      <c r="H13" s="254"/>
      <c r="I13" s="254"/>
      <c r="J13" s="255"/>
    </row>
    <row r="14" spans="2:28" ht="22.05" customHeight="1" x14ac:dyDescent="0.4">
      <c r="B14" s="253" t="s">
        <v>94</v>
      </c>
      <c r="C14" s="254"/>
      <c r="D14" s="254"/>
      <c r="E14" s="254"/>
      <c r="F14" s="254"/>
      <c r="G14" s="254"/>
      <c r="H14" s="254"/>
      <c r="I14" s="254"/>
      <c r="J14" s="255"/>
    </row>
    <row r="15" spans="2:28" ht="22.05" customHeight="1" x14ac:dyDescent="0.4">
      <c r="B15" s="256" t="s">
        <v>221</v>
      </c>
      <c r="C15" s="257"/>
      <c r="D15" s="257"/>
      <c r="E15" s="257"/>
      <c r="F15" s="257"/>
      <c r="G15" s="257"/>
      <c r="H15" s="257"/>
      <c r="I15" s="257"/>
      <c r="J15" s="258"/>
    </row>
    <row r="16" spans="2:28" ht="22.05" customHeight="1" x14ac:dyDescent="0.3">
      <c r="B16" s="2"/>
      <c r="C16" s="2"/>
      <c r="D16" s="3"/>
      <c r="E16" s="186" t="s">
        <v>177</v>
      </c>
      <c r="F16" s="186">
        <v>3.48</v>
      </c>
      <c r="G16" s="186">
        <v>0.64</v>
      </c>
      <c r="H16" s="186">
        <v>21.4</v>
      </c>
      <c r="I16" s="186">
        <v>134.22</v>
      </c>
      <c r="J16" s="17"/>
    </row>
    <row r="17" spans="1:25" s="19" customFormat="1" ht="22.05" customHeight="1" x14ac:dyDescent="0.3">
      <c r="A17" s="17"/>
      <c r="B17" s="246"/>
      <c r="C17" s="246"/>
      <c r="D17" s="246"/>
      <c r="E17" s="186" t="s">
        <v>178</v>
      </c>
      <c r="F17" s="186">
        <v>1.9</v>
      </c>
      <c r="G17" s="186">
        <v>0.45</v>
      </c>
      <c r="H17" s="186">
        <v>25</v>
      </c>
      <c r="I17" s="186">
        <v>123.73</v>
      </c>
      <c r="J17" s="21"/>
      <c r="K17" s="132"/>
      <c r="L17" s="132"/>
    </row>
    <row r="18" spans="1:25" s="45" customFormat="1" ht="22.05" customHeight="1" x14ac:dyDescent="0.3">
      <c r="A18" s="20"/>
      <c r="B18" s="225" t="s">
        <v>57</v>
      </c>
      <c r="C18" s="225"/>
      <c r="D18" s="225"/>
      <c r="E18" s="225"/>
      <c r="F18" s="225"/>
      <c r="G18" s="225"/>
      <c r="H18" s="225"/>
      <c r="I18" s="225"/>
      <c r="J18" s="225"/>
      <c r="K18" s="225"/>
      <c r="L18" s="117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</row>
    <row r="19" spans="1:25" s="45" customFormat="1" ht="22.05" customHeight="1" x14ac:dyDescent="0.3">
      <c r="A19" s="20"/>
      <c r="B19" s="231" t="s">
        <v>70</v>
      </c>
      <c r="C19" s="225" t="s">
        <v>1</v>
      </c>
      <c r="D19" s="225"/>
      <c r="E19" s="231" t="s">
        <v>71</v>
      </c>
      <c r="F19" s="225" t="s">
        <v>3</v>
      </c>
      <c r="G19" s="225"/>
      <c r="H19" s="225"/>
      <c r="I19" s="231" t="s">
        <v>142</v>
      </c>
      <c r="J19" s="225" t="s">
        <v>72</v>
      </c>
      <c r="K19" s="225" t="s">
        <v>180</v>
      </c>
      <c r="L19" s="120"/>
      <c r="M19" s="260" t="s">
        <v>156</v>
      </c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</row>
    <row r="20" spans="1:25" s="45" customFormat="1" ht="41.4" customHeight="1" x14ac:dyDescent="0.3">
      <c r="A20" s="20"/>
      <c r="B20" s="231"/>
      <c r="C20" s="225"/>
      <c r="D20" s="225"/>
      <c r="E20" s="231"/>
      <c r="F20" s="213" t="s">
        <v>139</v>
      </c>
      <c r="G20" s="213" t="s">
        <v>140</v>
      </c>
      <c r="H20" s="213" t="s">
        <v>141</v>
      </c>
      <c r="I20" s="231"/>
      <c r="J20" s="225"/>
      <c r="K20" s="225"/>
      <c r="L20" s="121"/>
      <c r="M20" s="262" t="s">
        <v>85</v>
      </c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</row>
    <row r="21" spans="1:25" s="47" customFormat="1" ht="22.05" customHeight="1" x14ac:dyDescent="0.3">
      <c r="A21" s="14"/>
      <c r="B21" s="229" t="s">
        <v>85</v>
      </c>
      <c r="C21" s="229"/>
      <c r="D21" s="229"/>
      <c r="E21" s="229"/>
      <c r="F21" s="229"/>
      <c r="G21" s="229"/>
      <c r="H21" s="229"/>
      <c r="I21" s="229"/>
      <c r="J21" s="229"/>
      <c r="K21" s="229"/>
      <c r="L21" s="141"/>
      <c r="M21" s="83" t="s">
        <v>143</v>
      </c>
      <c r="N21" s="83" t="s">
        <v>144</v>
      </c>
      <c r="O21" s="83" t="s">
        <v>145</v>
      </c>
      <c r="P21" s="83" t="s">
        <v>147</v>
      </c>
      <c r="Q21" s="83" t="s">
        <v>146</v>
      </c>
      <c r="R21" s="83" t="s">
        <v>148</v>
      </c>
      <c r="S21" s="83" t="s">
        <v>149</v>
      </c>
      <c r="T21" s="83" t="s">
        <v>150</v>
      </c>
      <c r="U21" s="83" t="s">
        <v>151</v>
      </c>
      <c r="V21" s="83" t="s">
        <v>152</v>
      </c>
      <c r="W21" s="83" t="s">
        <v>153</v>
      </c>
      <c r="X21" s="83" t="s">
        <v>154</v>
      </c>
      <c r="Y21" s="83" t="s">
        <v>155</v>
      </c>
    </row>
    <row r="22" spans="1:25" s="45" customFormat="1" ht="22.05" customHeight="1" x14ac:dyDescent="0.3">
      <c r="A22" s="20"/>
      <c r="B22" s="230" t="s">
        <v>4</v>
      </c>
      <c r="C22" s="224" t="s">
        <v>214</v>
      </c>
      <c r="D22" s="224"/>
      <c r="E22" s="48">
        <v>60</v>
      </c>
      <c r="F22" s="49">
        <v>0.26</v>
      </c>
      <c r="G22" s="49">
        <v>1.23</v>
      </c>
      <c r="H22" s="49">
        <v>1.53</v>
      </c>
      <c r="I22" s="49">
        <v>17.8</v>
      </c>
      <c r="J22" s="50">
        <v>8</v>
      </c>
      <c r="K22" s="133">
        <v>18.21</v>
      </c>
      <c r="L22" s="133"/>
      <c r="M22" s="82">
        <v>0.02</v>
      </c>
      <c r="N22" s="82">
        <v>0.01</v>
      </c>
      <c r="O22" s="82">
        <v>0</v>
      </c>
      <c r="P22" s="82">
        <v>0.21</v>
      </c>
      <c r="Q22" s="82">
        <v>4.1399999999999997</v>
      </c>
      <c r="R22" s="82">
        <v>92.3</v>
      </c>
      <c r="S22" s="82">
        <v>129.30000000000001</v>
      </c>
      <c r="T22" s="82">
        <v>8.48</v>
      </c>
      <c r="U22" s="82">
        <v>7.87</v>
      </c>
      <c r="V22" s="82">
        <v>14.51</v>
      </c>
      <c r="W22" s="82">
        <v>0.38</v>
      </c>
      <c r="X22" s="82">
        <v>0</v>
      </c>
      <c r="Y22" s="82">
        <v>0</v>
      </c>
    </row>
    <row r="23" spans="1:25" s="45" customFormat="1" ht="22.05" customHeight="1" x14ac:dyDescent="0.3">
      <c r="A23" s="20"/>
      <c r="B23" s="230"/>
      <c r="C23" s="224" t="s">
        <v>36</v>
      </c>
      <c r="D23" s="224"/>
      <c r="E23" s="48">
        <v>150</v>
      </c>
      <c r="F23" s="49">
        <v>7.7</v>
      </c>
      <c r="G23" s="49">
        <v>7.1</v>
      </c>
      <c r="H23" s="49">
        <v>30.6</v>
      </c>
      <c r="I23" s="49">
        <v>216.5</v>
      </c>
      <c r="J23" s="50" t="s">
        <v>40</v>
      </c>
      <c r="K23" s="133">
        <v>19.62</v>
      </c>
      <c r="L23" s="133"/>
      <c r="M23" s="82">
        <v>0.05</v>
      </c>
      <c r="N23" s="82">
        <v>7.0000000000000007E-2</v>
      </c>
      <c r="O23" s="82">
        <v>35</v>
      </c>
      <c r="P23" s="82">
        <v>0.05</v>
      </c>
      <c r="Q23" s="82">
        <v>0</v>
      </c>
      <c r="R23" s="82">
        <v>340</v>
      </c>
      <c r="S23" s="82">
        <v>22</v>
      </c>
      <c r="T23" s="82">
        <v>184</v>
      </c>
      <c r="U23" s="82">
        <v>12</v>
      </c>
      <c r="V23" s="82">
        <v>106</v>
      </c>
      <c r="W23" s="82">
        <v>0</v>
      </c>
      <c r="X23" s="82">
        <v>20</v>
      </c>
      <c r="Y23" s="82">
        <v>0</v>
      </c>
    </row>
    <row r="24" spans="1:25" s="45" customFormat="1" ht="22.05" customHeight="1" x14ac:dyDescent="0.3">
      <c r="A24" s="20"/>
      <c r="B24" s="230"/>
      <c r="C24" s="224" t="s">
        <v>111</v>
      </c>
      <c r="D24" s="224"/>
      <c r="E24" s="48">
        <v>50</v>
      </c>
      <c r="F24" s="49">
        <f>F16/100*50</f>
        <v>1.7399999999999998</v>
      </c>
      <c r="G24" s="49">
        <f t="shared" ref="G24:I24" si="0">G16/100*50</f>
        <v>0.32</v>
      </c>
      <c r="H24" s="49">
        <f t="shared" si="0"/>
        <v>10.7</v>
      </c>
      <c r="I24" s="49">
        <f t="shared" si="0"/>
        <v>67.11</v>
      </c>
      <c r="J24" s="48" t="s">
        <v>60</v>
      </c>
      <c r="K24" s="133">
        <v>4.55</v>
      </c>
      <c r="L24" s="133"/>
      <c r="M24" s="82">
        <f>M10/30*50</f>
        <v>0.20500000000000002</v>
      </c>
      <c r="N24" s="82">
        <f t="shared" ref="N24:Y24" si="1">N10/30*50</f>
        <v>0.12666666666666665</v>
      </c>
      <c r="O24" s="82">
        <f t="shared" si="1"/>
        <v>0</v>
      </c>
      <c r="P24" s="82">
        <f t="shared" si="1"/>
        <v>2.8000000000000003</v>
      </c>
      <c r="Q24" s="82">
        <f t="shared" si="1"/>
        <v>0.1</v>
      </c>
      <c r="R24" s="82">
        <f t="shared" si="1"/>
        <v>236.50000000000003</v>
      </c>
      <c r="S24" s="82">
        <f t="shared" si="1"/>
        <v>62.5</v>
      </c>
      <c r="T24" s="82">
        <f t="shared" si="1"/>
        <v>2.4500000000000002</v>
      </c>
      <c r="U24" s="82">
        <f t="shared" si="1"/>
        <v>20.5</v>
      </c>
      <c r="V24" s="82">
        <f t="shared" si="1"/>
        <v>64.5</v>
      </c>
      <c r="W24" s="82">
        <f t="shared" si="1"/>
        <v>1.8000000000000003</v>
      </c>
      <c r="X24" s="82">
        <f t="shared" si="1"/>
        <v>0</v>
      </c>
      <c r="Y24" s="82">
        <f t="shared" si="1"/>
        <v>14.400000000000002</v>
      </c>
    </row>
    <row r="25" spans="1:25" s="45" customFormat="1" ht="22.05" customHeight="1" x14ac:dyDescent="0.3">
      <c r="A25" s="20"/>
      <c r="B25" s="230"/>
      <c r="C25" s="224" t="s">
        <v>115</v>
      </c>
      <c r="D25" s="224"/>
      <c r="E25" s="48">
        <v>28</v>
      </c>
      <c r="F25" s="49">
        <f>F17/100*28</f>
        <v>0.53200000000000003</v>
      </c>
      <c r="G25" s="49">
        <f t="shared" ref="G25:I25" si="2">G17/100*28</f>
        <v>0.126</v>
      </c>
      <c r="H25" s="49">
        <f t="shared" si="2"/>
        <v>7</v>
      </c>
      <c r="I25" s="49">
        <f t="shared" si="2"/>
        <v>34.644400000000005</v>
      </c>
      <c r="J25" s="48" t="s">
        <v>60</v>
      </c>
      <c r="K25" s="133">
        <v>2.5499999999999998</v>
      </c>
      <c r="L25" s="133"/>
      <c r="M25" s="82">
        <f>M11/30*28</f>
        <v>0.12133333333333332</v>
      </c>
      <c r="N25" s="82">
        <f t="shared" ref="N25:Y25" si="3">N11/30*28</f>
        <v>9.3333333333333338E-2</v>
      </c>
      <c r="O25" s="82">
        <f t="shared" si="3"/>
        <v>0</v>
      </c>
      <c r="P25" s="82">
        <f t="shared" si="3"/>
        <v>1.0640000000000001</v>
      </c>
      <c r="Q25" s="82">
        <f t="shared" si="3"/>
        <v>0.112</v>
      </c>
      <c r="R25" s="82">
        <f t="shared" si="3"/>
        <v>168.84</v>
      </c>
      <c r="S25" s="82">
        <f t="shared" si="3"/>
        <v>20.439999999999998</v>
      </c>
      <c r="T25" s="82">
        <f t="shared" si="3"/>
        <v>0.33600000000000002</v>
      </c>
      <c r="U25" s="82">
        <f t="shared" si="3"/>
        <v>11.200000000000001</v>
      </c>
      <c r="V25" s="82">
        <f t="shared" si="3"/>
        <v>35</v>
      </c>
      <c r="W25" s="82">
        <f t="shared" si="3"/>
        <v>0.79333333333333333</v>
      </c>
      <c r="X25" s="82">
        <f t="shared" si="3"/>
        <v>0</v>
      </c>
      <c r="Y25" s="82">
        <f t="shared" si="3"/>
        <v>8.6519999999999992</v>
      </c>
    </row>
    <row r="26" spans="1:25" s="45" customFormat="1" ht="22.05" customHeight="1" x14ac:dyDescent="0.3">
      <c r="A26" s="20"/>
      <c r="B26" s="230"/>
      <c r="C26" s="224" t="s">
        <v>185</v>
      </c>
      <c r="D26" s="224"/>
      <c r="E26" s="48">
        <v>200</v>
      </c>
      <c r="F26" s="49">
        <v>4.5999999999999996</v>
      </c>
      <c r="G26" s="49">
        <v>4.3</v>
      </c>
      <c r="H26" s="49">
        <v>12.4</v>
      </c>
      <c r="I26" s="49">
        <v>106.7</v>
      </c>
      <c r="J26" s="50" t="s">
        <v>186</v>
      </c>
      <c r="K26" s="133">
        <v>21.07</v>
      </c>
      <c r="L26" s="133"/>
      <c r="M26" s="82">
        <v>0</v>
      </c>
      <c r="N26" s="82">
        <v>0.2</v>
      </c>
      <c r="O26" s="82">
        <v>15.6</v>
      </c>
      <c r="P26" s="82">
        <v>0.2</v>
      </c>
      <c r="Q26" s="82">
        <v>1</v>
      </c>
      <c r="R26" s="82">
        <v>66</v>
      </c>
      <c r="S26" s="82">
        <v>265</v>
      </c>
      <c r="T26" s="82">
        <v>34</v>
      </c>
      <c r="U26" s="82">
        <v>34</v>
      </c>
      <c r="V26" s="82">
        <v>131</v>
      </c>
      <c r="W26" s="82">
        <v>1</v>
      </c>
      <c r="X26" s="82">
        <v>11.7</v>
      </c>
      <c r="Y26" s="82">
        <v>2.2999999999999998</v>
      </c>
    </row>
    <row r="27" spans="1:25" s="47" customFormat="1" ht="22.05" customHeight="1" x14ac:dyDescent="0.3">
      <c r="A27" s="46"/>
      <c r="B27" s="230"/>
      <c r="C27" s="233" t="s">
        <v>41</v>
      </c>
      <c r="D27" s="234"/>
      <c r="E27" s="51">
        <v>200</v>
      </c>
      <c r="F27" s="52">
        <v>0.41</v>
      </c>
      <c r="G27" s="52">
        <v>0</v>
      </c>
      <c r="H27" s="52">
        <v>22.59</v>
      </c>
      <c r="I27" s="52">
        <v>92</v>
      </c>
      <c r="J27" s="53" t="s">
        <v>60</v>
      </c>
      <c r="K27" s="134">
        <v>36</v>
      </c>
      <c r="L27" s="134"/>
      <c r="M27" s="122">
        <v>0.02</v>
      </c>
      <c r="N27" s="122">
        <v>0.02</v>
      </c>
      <c r="O27" s="122">
        <v>0</v>
      </c>
      <c r="P27" s="122">
        <v>0.04</v>
      </c>
      <c r="Q27" s="122">
        <v>4</v>
      </c>
      <c r="R27" s="122">
        <v>12</v>
      </c>
      <c r="S27" s="122">
        <v>240</v>
      </c>
      <c r="T27" s="122">
        <v>14</v>
      </c>
      <c r="U27" s="122">
        <v>8</v>
      </c>
      <c r="V27" s="122">
        <v>14</v>
      </c>
      <c r="W27" s="122">
        <v>2.8</v>
      </c>
      <c r="X27" s="122">
        <v>2</v>
      </c>
      <c r="Y27" s="122">
        <v>0</v>
      </c>
    </row>
    <row r="28" spans="1:25" s="45" customFormat="1" ht="22.05" customHeight="1" x14ac:dyDescent="0.3">
      <c r="A28" s="20"/>
      <c r="B28" s="42"/>
      <c r="C28" s="228" t="s">
        <v>105</v>
      </c>
      <c r="D28" s="228"/>
      <c r="E28" s="44">
        <f>SUM(E22:E27)</f>
        <v>688</v>
      </c>
      <c r="F28" s="55">
        <f>SUM(F22:F27)</f>
        <v>15.241999999999999</v>
      </c>
      <c r="G28" s="55">
        <f>SUM(G22:G27)</f>
        <v>13.076000000000001</v>
      </c>
      <c r="H28" s="55">
        <f>SUM(H22:H27)</f>
        <v>84.82</v>
      </c>
      <c r="I28" s="55">
        <f>SUM(I22:I27)</f>
        <v>534.75440000000003</v>
      </c>
      <c r="J28" s="54"/>
      <c r="K28" s="55">
        <f>SUM(K22:K27)</f>
        <v>102</v>
      </c>
      <c r="L28" s="133"/>
      <c r="M28" s="102">
        <f>SUM(M22:M27)</f>
        <v>0.41633333333333333</v>
      </c>
      <c r="N28" s="102">
        <f t="shared" ref="N28:Y28" si="4">SUM(N22:N27)</f>
        <v>0.52</v>
      </c>
      <c r="O28" s="102">
        <f t="shared" si="4"/>
        <v>50.6</v>
      </c>
      <c r="P28" s="102">
        <f t="shared" si="4"/>
        <v>4.3640000000000008</v>
      </c>
      <c r="Q28" s="102">
        <f t="shared" si="4"/>
        <v>9.3520000000000003</v>
      </c>
      <c r="R28" s="102">
        <f t="shared" si="4"/>
        <v>915.6400000000001</v>
      </c>
      <c r="S28" s="102">
        <f t="shared" si="4"/>
        <v>739.24</v>
      </c>
      <c r="T28" s="102">
        <f t="shared" si="4"/>
        <v>243.26599999999999</v>
      </c>
      <c r="U28" s="102">
        <f t="shared" si="4"/>
        <v>93.570000000000007</v>
      </c>
      <c r="V28" s="102">
        <f t="shared" si="4"/>
        <v>365.01</v>
      </c>
      <c r="W28" s="102">
        <f t="shared" si="4"/>
        <v>6.7733333333333334</v>
      </c>
      <c r="X28" s="102">
        <f t="shared" si="4"/>
        <v>33.700000000000003</v>
      </c>
      <c r="Y28" s="102">
        <f t="shared" si="4"/>
        <v>25.352</v>
      </c>
    </row>
    <row r="29" spans="1:25" s="47" customFormat="1" ht="22.05" customHeight="1" x14ac:dyDescent="0.3">
      <c r="A29" s="14"/>
      <c r="B29" s="35"/>
      <c r="C29" s="31"/>
      <c r="D29" s="31"/>
      <c r="E29" s="14"/>
      <c r="F29" s="36"/>
      <c r="G29" s="36"/>
      <c r="H29" s="36"/>
      <c r="I29" s="36"/>
      <c r="J29" s="14"/>
      <c r="K29" s="61"/>
      <c r="L29" s="61"/>
    </row>
    <row r="30" spans="1:25" s="47" customFormat="1" ht="22.05" customHeight="1" x14ac:dyDescent="0.3">
      <c r="A30" s="14"/>
      <c r="B30" s="35"/>
      <c r="C30" s="247"/>
      <c r="D30" s="247"/>
      <c r="E30" s="36"/>
      <c r="F30" s="36"/>
      <c r="G30" s="36"/>
      <c r="H30" s="36"/>
      <c r="I30" s="36"/>
      <c r="J30" s="14"/>
      <c r="K30" s="61"/>
      <c r="L30" s="61"/>
    </row>
    <row r="31" spans="1:25" s="45" customFormat="1" ht="22.05" customHeight="1" x14ac:dyDescent="0.3">
      <c r="A31" s="20"/>
      <c r="B31" s="225" t="s">
        <v>57</v>
      </c>
      <c r="C31" s="225"/>
      <c r="D31" s="225"/>
      <c r="E31" s="225"/>
      <c r="F31" s="225"/>
      <c r="G31" s="225"/>
      <c r="H31" s="225"/>
      <c r="I31" s="225"/>
      <c r="J31" s="225"/>
      <c r="K31" s="225"/>
      <c r="L31" s="117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</row>
    <row r="32" spans="1:25" s="45" customFormat="1" ht="22.05" customHeight="1" x14ac:dyDescent="0.3">
      <c r="A32" s="20"/>
      <c r="B32" s="231" t="s">
        <v>70</v>
      </c>
      <c r="C32" s="225" t="s">
        <v>1</v>
      </c>
      <c r="D32" s="225"/>
      <c r="E32" s="231" t="s">
        <v>71</v>
      </c>
      <c r="F32" s="225" t="s">
        <v>3</v>
      </c>
      <c r="G32" s="225"/>
      <c r="H32" s="225"/>
      <c r="I32" s="231" t="s">
        <v>142</v>
      </c>
      <c r="J32" s="225" t="s">
        <v>72</v>
      </c>
      <c r="K32" s="225" t="s">
        <v>180</v>
      </c>
      <c r="L32" s="120"/>
      <c r="M32" s="260" t="s">
        <v>156</v>
      </c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</row>
    <row r="33" spans="1:25" s="45" customFormat="1" ht="37.799999999999997" customHeight="1" x14ac:dyDescent="0.3">
      <c r="A33" s="20"/>
      <c r="B33" s="231"/>
      <c r="C33" s="225"/>
      <c r="D33" s="225"/>
      <c r="E33" s="231"/>
      <c r="F33" s="213" t="s">
        <v>139</v>
      </c>
      <c r="G33" s="213" t="s">
        <v>140</v>
      </c>
      <c r="H33" s="213" t="s">
        <v>141</v>
      </c>
      <c r="I33" s="231"/>
      <c r="J33" s="225"/>
      <c r="K33" s="225"/>
      <c r="L33" s="121"/>
      <c r="M33" s="262" t="s">
        <v>73</v>
      </c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</row>
    <row r="34" spans="1:25" s="47" customFormat="1" ht="22.05" customHeight="1" x14ac:dyDescent="0.3">
      <c r="A34" s="14"/>
      <c r="B34" s="229" t="s">
        <v>73</v>
      </c>
      <c r="C34" s="229"/>
      <c r="D34" s="229"/>
      <c r="E34" s="229"/>
      <c r="F34" s="229"/>
      <c r="G34" s="229"/>
      <c r="H34" s="229"/>
      <c r="I34" s="229"/>
      <c r="J34" s="229"/>
      <c r="K34" s="229"/>
      <c r="L34" s="141"/>
      <c r="M34" s="83" t="s">
        <v>143</v>
      </c>
      <c r="N34" s="83" t="s">
        <v>144</v>
      </c>
      <c r="O34" s="83" t="s">
        <v>145</v>
      </c>
      <c r="P34" s="83" t="s">
        <v>147</v>
      </c>
      <c r="Q34" s="83" t="s">
        <v>146</v>
      </c>
      <c r="R34" s="83" t="s">
        <v>148</v>
      </c>
      <c r="S34" s="83" t="s">
        <v>149</v>
      </c>
      <c r="T34" s="83" t="s">
        <v>150</v>
      </c>
      <c r="U34" s="83" t="s">
        <v>151</v>
      </c>
      <c r="V34" s="83" t="s">
        <v>152</v>
      </c>
      <c r="W34" s="83" t="s">
        <v>153</v>
      </c>
      <c r="X34" s="83" t="s">
        <v>154</v>
      </c>
      <c r="Y34" s="83" t="s">
        <v>155</v>
      </c>
    </row>
    <row r="35" spans="1:25" s="20" customFormat="1" ht="22.05" customHeight="1" x14ac:dyDescent="0.3">
      <c r="B35" s="230" t="s">
        <v>4</v>
      </c>
      <c r="C35" s="224" t="s">
        <v>194</v>
      </c>
      <c r="D35" s="224"/>
      <c r="E35" s="48">
        <v>60</v>
      </c>
      <c r="F35" s="49">
        <v>1.8</v>
      </c>
      <c r="G35" s="49">
        <v>0.2</v>
      </c>
      <c r="H35" s="49">
        <v>3.6</v>
      </c>
      <c r="I35" s="49">
        <v>22.2</v>
      </c>
      <c r="J35" s="50" t="s">
        <v>195</v>
      </c>
      <c r="K35" s="133">
        <v>27.86</v>
      </c>
      <c r="L35" s="133"/>
      <c r="M35" s="123">
        <v>0.04</v>
      </c>
      <c r="N35" s="123">
        <v>7.0000000000000007E-2</v>
      </c>
      <c r="O35" s="123">
        <v>1.8</v>
      </c>
      <c r="P35" s="123">
        <v>1</v>
      </c>
      <c r="Q35" s="123">
        <v>2.8</v>
      </c>
      <c r="R35" s="123">
        <v>439.2</v>
      </c>
      <c r="S35" s="123">
        <v>162.69999999999999</v>
      </c>
      <c r="T35" s="123">
        <v>53.3</v>
      </c>
      <c r="U35" s="123">
        <v>16.2</v>
      </c>
      <c r="V35" s="123">
        <v>51.5</v>
      </c>
      <c r="W35" s="123">
        <v>0.5</v>
      </c>
      <c r="X35" s="123">
        <v>0</v>
      </c>
      <c r="Y35" s="123">
        <v>0.7</v>
      </c>
    </row>
    <row r="36" spans="1:25" s="113" customFormat="1" ht="22.05" customHeight="1" x14ac:dyDescent="0.3">
      <c r="A36" s="20"/>
      <c r="B36" s="230"/>
      <c r="C36" s="224" t="s">
        <v>10</v>
      </c>
      <c r="D36" s="224"/>
      <c r="E36" s="48">
        <v>180</v>
      </c>
      <c r="F36" s="49">
        <v>8.4</v>
      </c>
      <c r="G36" s="49">
        <v>6.7</v>
      </c>
      <c r="H36" s="49">
        <v>44.1</v>
      </c>
      <c r="I36" s="49">
        <v>270.39999999999998</v>
      </c>
      <c r="J36" s="50" t="s">
        <v>62</v>
      </c>
      <c r="K36" s="133">
        <v>13.39</v>
      </c>
      <c r="L36" s="133"/>
      <c r="M36" s="112">
        <v>0.3</v>
      </c>
      <c r="N36" s="112">
        <v>0.1</v>
      </c>
      <c r="O36" s="112">
        <v>33</v>
      </c>
      <c r="P36" s="112">
        <v>4.8</v>
      </c>
      <c r="Q36" s="112">
        <v>0</v>
      </c>
      <c r="R36" s="112">
        <v>178.8</v>
      </c>
      <c r="S36" s="112">
        <v>262.8</v>
      </c>
      <c r="T36" s="112">
        <v>16.8</v>
      </c>
      <c r="U36" s="112">
        <v>144</v>
      </c>
      <c r="V36" s="112">
        <v>216</v>
      </c>
      <c r="W36" s="112">
        <v>4.8</v>
      </c>
      <c r="X36" s="112">
        <v>26.8</v>
      </c>
      <c r="Y36" s="112">
        <v>4.2</v>
      </c>
    </row>
    <row r="37" spans="1:25" s="45" customFormat="1" ht="22.05" customHeight="1" x14ac:dyDescent="0.3">
      <c r="A37" s="20"/>
      <c r="B37" s="230"/>
      <c r="C37" s="224" t="s">
        <v>157</v>
      </c>
      <c r="D37" s="224"/>
      <c r="E37" s="48">
        <v>90</v>
      </c>
      <c r="F37" s="49">
        <v>12.7</v>
      </c>
      <c r="G37" s="49">
        <v>5.7</v>
      </c>
      <c r="H37" s="49">
        <v>4</v>
      </c>
      <c r="I37" s="49">
        <v>118.2</v>
      </c>
      <c r="J37" s="50" t="s">
        <v>163</v>
      </c>
      <c r="K37" s="133">
        <v>35.869999999999997</v>
      </c>
      <c r="L37" s="133"/>
      <c r="M37" s="82">
        <v>0.04</v>
      </c>
      <c r="N37" s="82">
        <v>0.05</v>
      </c>
      <c r="O37" s="82">
        <v>261.89999999999998</v>
      </c>
      <c r="P37" s="82">
        <v>3.56</v>
      </c>
      <c r="Q37" s="82">
        <v>1.2</v>
      </c>
      <c r="R37" s="82">
        <v>223.2</v>
      </c>
      <c r="S37" s="82">
        <v>187.2</v>
      </c>
      <c r="T37" s="82">
        <v>19.8</v>
      </c>
      <c r="U37" s="82">
        <v>48.6</v>
      </c>
      <c r="V37" s="82">
        <v>100.8</v>
      </c>
      <c r="W37" s="82">
        <v>0.9</v>
      </c>
      <c r="X37" s="82">
        <v>31.5</v>
      </c>
      <c r="Y37" s="82">
        <v>10.8</v>
      </c>
    </row>
    <row r="38" spans="1:25" s="45" customFormat="1" ht="22.05" customHeight="1" x14ac:dyDescent="0.3">
      <c r="A38" s="20"/>
      <c r="B38" s="230"/>
      <c r="C38" s="224" t="s">
        <v>111</v>
      </c>
      <c r="D38" s="224"/>
      <c r="E38" s="48">
        <v>40</v>
      </c>
      <c r="F38" s="49">
        <f>F16/100*40</f>
        <v>1.3919999999999999</v>
      </c>
      <c r="G38" s="49">
        <f t="shared" ref="G38:I38" si="5">G16/100*40</f>
        <v>0.25600000000000001</v>
      </c>
      <c r="H38" s="49">
        <f t="shared" si="5"/>
        <v>8.56</v>
      </c>
      <c r="I38" s="49">
        <f t="shared" si="5"/>
        <v>53.688000000000002</v>
      </c>
      <c r="J38" s="48" t="s">
        <v>60</v>
      </c>
      <c r="K38" s="133">
        <v>4.18</v>
      </c>
      <c r="L38" s="133"/>
      <c r="M38" s="82">
        <f>M10/30*46</f>
        <v>0.18860000000000002</v>
      </c>
      <c r="N38" s="82">
        <f t="shared" ref="N38:Y38" si="6">N10/30*46</f>
        <v>0.11653333333333332</v>
      </c>
      <c r="O38" s="82">
        <f t="shared" si="6"/>
        <v>0</v>
      </c>
      <c r="P38" s="82">
        <f t="shared" si="6"/>
        <v>2.5760000000000001</v>
      </c>
      <c r="Q38" s="82">
        <f t="shared" si="6"/>
        <v>9.1999999999999998E-2</v>
      </c>
      <c r="R38" s="82">
        <f t="shared" si="6"/>
        <v>217.58</v>
      </c>
      <c r="S38" s="82">
        <f t="shared" si="6"/>
        <v>57.5</v>
      </c>
      <c r="T38" s="82">
        <f t="shared" si="6"/>
        <v>2.254</v>
      </c>
      <c r="U38" s="82">
        <f t="shared" si="6"/>
        <v>18.860000000000003</v>
      </c>
      <c r="V38" s="82">
        <f t="shared" si="6"/>
        <v>59.34</v>
      </c>
      <c r="W38" s="82">
        <f t="shared" si="6"/>
        <v>1.6560000000000001</v>
      </c>
      <c r="X38" s="82">
        <f t="shared" si="6"/>
        <v>0</v>
      </c>
      <c r="Y38" s="82">
        <f t="shared" si="6"/>
        <v>13.248000000000001</v>
      </c>
    </row>
    <row r="39" spans="1:25" s="45" customFormat="1" ht="22.05" customHeight="1" x14ac:dyDescent="0.3">
      <c r="A39" s="20"/>
      <c r="B39" s="230"/>
      <c r="C39" s="224" t="s">
        <v>115</v>
      </c>
      <c r="D39" s="224"/>
      <c r="E39" s="48">
        <v>30</v>
      </c>
      <c r="F39" s="49">
        <f>F17/100*30</f>
        <v>0.56999999999999995</v>
      </c>
      <c r="G39" s="49">
        <f t="shared" ref="G39:I39" si="7">G17/100*30</f>
        <v>0.13500000000000001</v>
      </c>
      <c r="H39" s="49">
        <f t="shared" si="7"/>
        <v>7.5</v>
      </c>
      <c r="I39" s="49">
        <f t="shared" si="7"/>
        <v>37.119</v>
      </c>
      <c r="J39" s="48" t="s">
        <v>60</v>
      </c>
      <c r="K39" s="133">
        <v>2.73</v>
      </c>
      <c r="L39" s="133"/>
      <c r="M39" s="82">
        <f t="shared" ref="M39:Y39" si="8">M11</f>
        <v>0.13</v>
      </c>
      <c r="N39" s="82">
        <f t="shared" si="8"/>
        <v>0.1</v>
      </c>
      <c r="O39" s="82">
        <f t="shared" si="8"/>
        <v>0</v>
      </c>
      <c r="P39" s="82">
        <f t="shared" si="8"/>
        <v>1.1399999999999999</v>
      </c>
      <c r="Q39" s="82">
        <f t="shared" si="8"/>
        <v>0.12</v>
      </c>
      <c r="R39" s="82">
        <f t="shared" si="8"/>
        <v>180.9</v>
      </c>
      <c r="S39" s="82">
        <f t="shared" si="8"/>
        <v>21.9</v>
      </c>
      <c r="T39" s="82">
        <f t="shared" si="8"/>
        <v>0.36</v>
      </c>
      <c r="U39" s="82">
        <f t="shared" si="8"/>
        <v>12</v>
      </c>
      <c r="V39" s="82">
        <f t="shared" si="8"/>
        <v>37.5</v>
      </c>
      <c r="W39" s="82">
        <f t="shared" si="8"/>
        <v>0.85</v>
      </c>
      <c r="X39" s="82">
        <f t="shared" si="8"/>
        <v>0</v>
      </c>
      <c r="Y39" s="82">
        <f t="shared" si="8"/>
        <v>9.27</v>
      </c>
    </row>
    <row r="40" spans="1:25" s="45" customFormat="1" ht="22.05" customHeight="1" x14ac:dyDescent="0.3">
      <c r="A40" s="20"/>
      <c r="B40" s="230"/>
      <c r="C40" s="224" t="s">
        <v>219</v>
      </c>
      <c r="D40" s="224"/>
      <c r="E40" s="48">
        <v>200</v>
      </c>
      <c r="F40" s="49">
        <v>0.2</v>
      </c>
      <c r="G40" s="49">
        <v>0.1</v>
      </c>
      <c r="H40" s="49">
        <v>12.5</v>
      </c>
      <c r="I40" s="49">
        <v>51.5</v>
      </c>
      <c r="J40" s="50" t="s">
        <v>158</v>
      </c>
      <c r="K40" s="133">
        <v>17.97</v>
      </c>
      <c r="L40" s="133"/>
      <c r="M40" s="82">
        <v>0.02</v>
      </c>
      <c r="N40" s="82">
        <v>0</v>
      </c>
      <c r="O40" s="82">
        <v>0.2</v>
      </c>
      <c r="P40" s="82">
        <v>0.1</v>
      </c>
      <c r="Q40" s="82">
        <v>1</v>
      </c>
      <c r="R40" s="82">
        <v>2</v>
      </c>
      <c r="S40" s="82">
        <v>23</v>
      </c>
      <c r="T40" s="82">
        <v>7</v>
      </c>
      <c r="U40" s="82">
        <v>1</v>
      </c>
      <c r="V40" s="82">
        <v>7</v>
      </c>
      <c r="W40" s="82">
        <v>0</v>
      </c>
      <c r="X40" s="82">
        <v>0</v>
      </c>
      <c r="Y40" s="82">
        <v>0</v>
      </c>
    </row>
    <row r="41" spans="1:25" s="45" customFormat="1" ht="22.05" customHeight="1" x14ac:dyDescent="0.3">
      <c r="A41" s="20"/>
      <c r="B41" s="42"/>
      <c r="C41" s="228" t="s">
        <v>105</v>
      </c>
      <c r="D41" s="228"/>
      <c r="E41" s="44">
        <f>SUM(E35:E40)</f>
        <v>600</v>
      </c>
      <c r="F41" s="55">
        <f>SUM(F35:F40)</f>
        <v>25.061999999999998</v>
      </c>
      <c r="G41" s="55">
        <f>SUM(G35:G40)</f>
        <v>13.091000000000001</v>
      </c>
      <c r="H41" s="55">
        <f>SUM(H35:H40)</f>
        <v>80.260000000000005</v>
      </c>
      <c r="I41" s="55">
        <f>SUM(I35:I40)</f>
        <v>553.10699999999997</v>
      </c>
      <c r="J41" s="54"/>
      <c r="K41" s="55">
        <f>SUM(K35:K40)</f>
        <v>102.00000000000001</v>
      </c>
      <c r="L41" s="133"/>
      <c r="M41" s="102">
        <f>SUM(M35:M40)</f>
        <v>0.71860000000000002</v>
      </c>
      <c r="N41" s="102">
        <f t="shared" ref="N41:Y41" si="9">SUM(N35:N40)</f>
        <v>0.43653333333333333</v>
      </c>
      <c r="O41" s="102">
        <f t="shared" si="9"/>
        <v>296.89999999999998</v>
      </c>
      <c r="P41" s="102">
        <f t="shared" si="9"/>
        <v>13.176</v>
      </c>
      <c r="Q41" s="102">
        <f t="shared" si="9"/>
        <v>5.2119999999999997</v>
      </c>
      <c r="R41" s="102">
        <f t="shared" si="9"/>
        <v>1241.68</v>
      </c>
      <c r="S41" s="102">
        <f t="shared" si="9"/>
        <v>715.1</v>
      </c>
      <c r="T41" s="102">
        <f t="shared" si="9"/>
        <v>99.513999999999996</v>
      </c>
      <c r="U41" s="102">
        <f t="shared" si="9"/>
        <v>240.66</v>
      </c>
      <c r="V41" s="102">
        <f t="shared" si="9"/>
        <v>472.14</v>
      </c>
      <c r="W41" s="102">
        <f t="shared" si="9"/>
        <v>8.7059999999999995</v>
      </c>
      <c r="X41" s="102">
        <f t="shared" si="9"/>
        <v>58.3</v>
      </c>
      <c r="Y41" s="102">
        <f t="shared" si="9"/>
        <v>38.218000000000004</v>
      </c>
    </row>
    <row r="42" spans="1:25" s="113" customFormat="1" ht="22.05" customHeight="1" x14ac:dyDescent="0.3">
      <c r="A42" s="20"/>
      <c r="B42" s="38"/>
      <c r="C42" s="39"/>
      <c r="D42" s="39"/>
      <c r="E42" s="179"/>
      <c r="F42" s="91"/>
      <c r="G42" s="91"/>
      <c r="H42" s="91"/>
      <c r="I42" s="91"/>
      <c r="J42" s="63"/>
      <c r="K42" s="91"/>
      <c r="L42" s="91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</row>
    <row r="43" spans="1:25" s="47" customFormat="1" ht="22.05" customHeight="1" x14ac:dyDescent="0.3">
      <c r="A43" s="14"/>
      <c r="B43" s="35"/>
      <c r="C43" s="31"/>
      <c r="D43" s="31"/>
      <c r="E43" s="14"/>
      <c r="F43" s="36"/>
      <c r="G43" s="36"/>
      <c r="H43" s="36"/>
      <c r="I43" s="36"/>
      <c r="J43" s="14"/>
      <c r="K43" s="61"/>
      <c r="L43" s="61"/>
    </row>
    <row r="44" spans="1:25" s="45" customFormat="1" ht="22.05" customHeight="1" x14ac:dyDescent="0.3">
      <c r="A44" s="20"/>
      <c r="B44" s="225" t="s">
        <v>57</v>
      </c>
      <c r="C44" s="225"/>
      <c r="D44" s="225"/>
      <c r="E44" s="225"/>
      <c r="F44" s="225"/>
      <c r="G44" s="225"/>
      <c r="H44" s="225"/>
      <c r="I44" s="225"/>
      <c r="J44" s="225"/>
      <c r="K44" s="225"/>
      <c r="L44" s="117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0"/>
    </row>
    <row r="45" spans="1:25" s="45" customFormat="1" ht="22.05" customHeight="1" x14ac:dyDescent="0.3">
      <c r="A45" s="20"/>
      <c r="B45" s="231" t="s">
        <v>70</v>
      </c>
      <c r="C45" s="225" t="s">
        <v>1</v>
      </c>
      <c r="D45" s="225"/>
      <c r="E45" s="231" t="s">
        <v>71</v>
      </c>
      <c r="F45" s="225" t="s">
        <v>3</v>
      </c>
      <c r="G45" s="225"/>
      <c r="H45" s="225"/>
      <c r="I45" s="231" t="s">
        <v>142</v>
      </c>
      <c r="J45" s="225" t="s">
        <v>72</v>
      </c>
      <c r="K45" s="225" t="s">
        <v>180</v>
      </c>
      <c r="L45" s="120"/>
      <c r="M45" s="260" t="s">
        <v>156</v>
      </c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</row>
    <row r="46" spans="1:25" s="45" customFormat="1" ht="43.8" customHeight="1" x14ac:dyDescent="0.3">
      <c r="A46" s="20"/>
      <c r="B46" s="231"/>
      <c r="C46" s="225"/>
      <c r="D46" s="225"/>
      <c r="E46" s="231"/>
      <c r="F46" s="213" t="s">
        <v>139</v>
      </c>
      <c r="G46" s="213" t="s">
        <v>140</v>
      </c>
      <c r="H46" s="213" t="s">
        <v>141</v>
      </c>
      <c r="I46" s="231"/>
      <c r="J46" s="225"/>
      <c r="K46" s="225"/>
      <c r="L46" s="121"/>
      <c r="M46" s="262" t="s">
        <v>86</v>
      </c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</row>
    <row r="47" spans="1:25" s="45" customFormat="1" ht="22.05" customHeight="1" x14ac:dyDescent="0.3">
      <c r="A47" s="20"/>
      <c r="B47" s="229" t="s">
        <v>86</v>
      </c>
      <c r="C47" s="229"/>
      <c r="D47" s="229"/>
      <c r="E47" s="229"/>
      <c r="F47" s="229"/>
      <c r="G47" s="229"/>
      <c r="H47" s="229"/>
      <c r="I47" s="229"/>
      <c r="J47" s="229"/>
      <c r="K47" s="229"/>
      <c r="L47" s="141"/>
      <c r="M47" s="81" t="s">
        <v>143</v>
      </c>
      <c r="N47" s="81" t="s">
        <v>144</v>
      </c>
      <c r="O47" s="81" t="s">
        <v>145</v>
      </c>
      <c r="P47" s="81" t="s">
        <v>147</v>
      </c>
      <c r="Q47" s="81" t="s">
        <v>146</v>
      </c>
      <c r="R47" s="81" t="s">
        <v>148</v>
      </c>
      <c r="S47" s="81" t="s">
        <v>149</v>
      </c>
      <c r="T47" s="81" t="s">
        <v>150</v>
      </c>
      <c r="U47" s="81" t="s">
        <v>151</v>
      </c>
      <c r="V47" s="81" t="s">
        <v>152</v>
      </c>
      <c r="W47" s="81" t="s">
        <v>153</v>
      </c>
      <c r="X47" s="81" t="s">
        <v>154</v>
      </c>
      <c r="Y47" s="81" t="s">
        <v>155</v>
      </c>
    </row>
    <row r="48" spans="1:25" s="113" customFormat="1" ht="22.05" customHeight="1" x14ac:dyDescent="0.3">
      <c r="A48" s="20"/>
      <c r="B48" s="230" t="s">
        <v>4</v>
      </c>
      <c r="C48" s="232" t="s">
        <v>196</v>
      </c>
      <c r="D48" s="232"/>
      <c r="E48" s="48">
        <v>70</v>
      </c>
      <c r="F48" s="49">
        <v>0.34</v>
      </c>
      <c r="G48" s="49">
        <v>2.7</v>
      </c>
      <c r="H48" s="49">
        <v>1.95</v>
      </c>
      <c r="I48" s="49">
        <v>33.130000000000003</v>
      </c>
      <c r="J48" s="50" t="s">
        <v>197</v>
      </c>
      <c r="K48" s="133">
        <v>26.08</v>
      </c>
      <c r="L48" s="133"/>
      <c r="M48" s="112">
        <v>0.05</v>
      </c>
      <c r="N48" s="112">
        <v>0.05</v>
      </c>
      <c r="O48" s="112">
        <v>100.18</v>
      </c>
      <c r="P48" s="112">
        <v>0.32</v>
      </c>
      <c r="Q48" s="112">
        <v>17.12</v>
      </c>
      <c r="R48" s="112">
        <v>144.66999999999999</v>
      </c>
      <c r="S48" s="112">
        <v>206.89</v>
      </c>
      <c r="T48" s="112">
        <v>29.55</v>
      </c>
      <c r="U48" s="112">
        <v>15.55</v>
      </c>
      <c r="V48" s="112">
        <v>28</v>
      </c>
      <c r="W48" s="112">
        <v>0</v>
      </c>
      <c r="X48" s="112">
        <v>14.47</v>
      </c>
      <c r="Y48" s="112">
        <v>0.32</v>
      </c>
    </row>
    <row r="49" spans="1:25" s="45" customFormat="1" ht="22.05" customHeight="1" x14ac:dyDescent="0.3">
      <c r="A49" s="20"/>
      <c r="B49" s="230"/>
      <c r="C49" s="232" t="s">
        <v>29</v>
      </c>
      <c r="D49" s="232"/>
      <c r="E49" s="48">
        <v>150</v>
      </c>
      <c r="F49" s="49">
        <v>3.6</v>
      </c>
      <c r="G49" s="49">
        <v>5.2</v>
      </c>
      <c r="H49" s="49">
        <v>38.1</v>
      </c>
      <c r="I49" s="49">
        <v>213.5</v>
      </c>
      <c r="J49" s="50" t="s">
        <v>28</v>
      </c>
      <c r="K49" s="133">
        <v>13.32</v>
      </c>
      <c r="L49" s="133"/>
      <c r="M49" s="82">
        <v>0</v>
      </c>
      <c r="N49" s="82">
        <v>0</v>
      </c>
      <c r="O49" s="82">
        <v>20</v>
      </c>
      <c r="P49" s="82">
        <v>0.7</v>
      </c>
      <c r="Q49" s="82">
        <v>0</v>
      </c>
      <c r="R49" s="82">
        <v>206</v>
      </c>
      <c r="S49" s="82">
        <v>31</v>
      </c>
      <c r="T49" s="82">
        <v>14</v>
      </c>
      <c r="U49" s="82">
        <v>10</v>
      </c>
      <c r="V49" s="82">
        <v>47</v>
      </c>
      <c r="W49" s="82">
        <v>1</v>
      </c>
      <c r="X49" s="82">
        <v>20</v>
      </c>
      <c r="Y49" s="82">
        <v>7.3</v>
      </c>
    </row>
    <row r="50" spans="1:25" s="113" customFormat="1" ht="22.05" customHeight="1" x14ac:dyDescent="0.3">
      <c r="A50" s="20"/>
      <c r="B50" s="230"/>
      <c r="C50" s="224" t="s">
        <v>160</v>
      </c>
      <c r="D50" s="224"/>
      <c r="E50" s="48">
        <v>90</v>
      </c>
      <c r="F50" s="49">
        <v>10.4</v>
      </c>
      <c r="G50" s="49">
        <v>5.5</v>
      </c>
      <c r="H50" s="49">
        <v>4.8</v>
      </c>
      <c r="I50" s="49">
        <v>110</v>
      </c>
      <c r="J50" s="50" t="s">
        <v>51</v>
      </c>
      <c r="K50" s="133">
        <v>51.02</v>
      </c>
      <c r="L50" s="133"/>
      <c r="M50" s="112">
        <v>0.06</v>
      </c>
      <c r="N50" s="112">
        <v>0.1</v>
      </c>
      <c r="O50" s="112">
        <v>54</v>
      </c>
      <c r="P50" s="112">
        <v>0.9</v>
      </c>
      <c r="Q50" s="112">
        <v>1.3</v>
      </c>
      <c r="R50" s="112">
        <v>117</v>
      </c>
      <c r="S50" s="112">
        <v>411.4</v>
      </c>
      <c r="T50" s="112">
        <v>19.3</v>
      </c>
      <c r="U50" s="112">
        <v>48.9</v>
      </c>
      <c r="V50" s="112">
        <v>24.4</v>
      </c>
      <c r="W50" s="112">
        <v>0</v>
      </c>
      <c r="X50" s="112">
        <v>129.19999999999999</v>
      </c>
      <c r="Y50" s="112">
        <v>10.9</v>
      </c>
    </row>
    <row r="51" spans="1:25" s="45" customFormat="1" ht="22.05" customHeight="1" x14ac:dyDescent="0.3">
      <c r="A51" s="20"/>
      <c r="B51" s="230"/>
      <c r="C51" s="224" t="s">
        <v>111</v>
      </c>
      <c r="D51" s="224"/>
      <c r="E51" s="48">
        <v>37</v>
      </c>
      <c r="F51" s="49">
        <f>F16/100*37</f>
        <v>1.2875999999999999</v>
      </c>
      <c r="G51" s="49">
        <f t="shared" ref="G51:I51" si="10">G16/100*37</f>
        <v>0.23680000000000001</v>
      </c>
      <c r="H51" s="49">
        <f t="shared" si="10"/>
        <v>7.9180000000000001</v>
      </c>
      <c r="I51" s="49">
        <f t="shared" si="10"/>
        <v>49.6614</v>
      </c>
      <c r="J51" s="48" t="s">
        <v>60</v>
      </c>
      <c r="K51" s="133">
        <v>3.36</v>
      </c>
      <c r="L51" s="133"/>
      <c r="M51" s="82">
        <f>M10/30*37</f>
        <v>0.1517</v>
      </c>
      <c r="N51" s="82">
        <f t="shared" ref="N51:Y51" si="11">N10/30*37</f>
        <v>9.3733333333333321E-2</v>
      </c>
      <c r="O51" s="82">
        <f t="shared" si="11"/>
        <v>0</v>
      </c>
      <c r="P51" s="82">
        <f t="shared" si="11"/>
        <v>2.0720000000000001</v>
      </c>
      <c r="Q51" s="82">
        <f t="shared" si="11"/>
        <v>7.3999999999999996E-2</v>
      </c>
      <c r="R51" s="82">
        <f t="shared" si="11"/>
        <v>175.01000000000002</v>
      </c>
      <c r="S51" s="82">
        <f t="shared" si="11"/>
        <v>46.25</v>
      </c>
      <c r="T51" s="82">
        <f t="shared" si="11"/>
        <v>1.8130000000000002</v>
      </c>
      <c r="U51" s="82">
        <f t="shared" si="11"/>
        <v>15.170000000000002</v>
      </c>
      <c r="V51" s="82">
        <f t="shared" si="11"/>
        <v>47.730000000000004</v>
      </c>
      <c r="W51" s="82">
        <f t="shared" si="11"/>
        <v>1.3320000000000001</v>
      </c>
      <c r="X51" s="82">
        <f t="shared" si="11"/>
        <v>0</v>
      </c>
      <c r="Y51" s="82">
        <f t="shared" si="11"/>
        <v>10.656000000000001</v>
      </c>
    </row>
    <row r="52" spans="1:25" s="45" customFormat="1" ht="22.05" customHeight="1" x14ac:dyDescent="0.3">
      <c r="A52" s="20"/>
      <c r="B52" s="230"/>
      <c r="C52" s="224" t="s">
        <v>115</v>
      </c>
      <c r="D52" s="224"/>
      <c r="E52" s="48">
        <v>28</v>
      </c>
      <c r="F52" s="49">
        <f>F17/100*28</f>
        <v>0.53200000000000003</v>
      </c>
      <c r="G52" s="49">
        <f t="shared" ref="G52:I52" si="12">G17/100*28</f>
        <v>0.126</v>
      </c>
      <c r="H52" s="49">
        <f t="shared" si="12"/>
        <v>7</v>
      </c>
      <c r="I52" s="49">
        <f t="shared" si="12"/>
        <v>34.644400000000005</v>
      </c>
      <c r="J52" s="48" t="s">
        <v>60</v>
      </c>
      <c r="K52" s="133">
        <v>2.5499999999999998</v>
      </c>
      <c r="L52" s="133"/>
      <c r="M52" s="82">
        <f>M11/30*28</f>
        <v>0.12133333333333332</v>
      </c>
      <c r="N52" s="82">
        <f t="shared" ref="N52:Y52" si="13">N11/30*28</f>
        <v>9.3333333333333338E-2</v>
      </c>
      <c r="O52" s="82">
        <f t="shared" si="13"/>
        <v>0</v>
      </c>
      <c r="P52" s="82">
        <f t="shared" si="13"/>
        <v>1.0640000000000001</v>
      </c>
      <c r="Q52" s="82">
        <f t="shared" si="13"/>
        <v>0.112</v>
      </c>
      <c r="R52" s="82">
        <f t="shared" si="13"/>
        <v>168.84</v>
      </c>
      <c r="S52" s="82">
        <f t="shared" si="13"/>
        <v>20.439999999999998</v>
      </c>
      <c r="T52" s="82">
        <f t="shared" si="13"/>
        <v>0.33600000000000002</v>
      </c>
      <c r="U52" s="82">
        <f t="shared" si="13"/>
        <v>11.200000000000001</v>
      </c>
      <c r="V52" s="82">
        <f t="shared" si="13"/>
        <v>35</v>
      </c>
      <c r="W52" s="82">
        <f t="shared" si="13"/>
        <v>0.79333333333333333</v>
      </c>
      <c r="X52" s="82">
        <f t="shared" si="13"/>
        <v>0</v>
      </c>
      <c r="Y52" s="82">
        <f t="shared" si="13"/>
        <v>8.6519999999999992</v>
      </c>
    </row>
    <row r="53" spans="1:25" s="45" customFormat="1" ht="22.05" customHeight="1" x14ac:dyDescent="0.3">
      <c r="A53" s="20"/>
      <c r="B53" s="230"/>
      <c r="C53" s="224" t="s">
        <v>182</v>
      </c>
      <c r="D53" s="224"/>
      <c r="E53" s="48">
        <v>200</v>
      </c>
      <c r="F53" s="49">
        <v>0.6</v>
      </c>
      <c r="G53" s="49">
        <v>0</v>
      </c>
      <c r="H53" s="49">
        <v>22.7</v>
      </c>
      <c r="I53" s="49">
        <v>93.2</v>
      </c>
      <c r="J53" s="50" t="s">
        <v>31</v>
      </c>
      <c r="K53" s="133">
        <v>5.67</v>
      </c>
      <c r="L53" s="133"/>
      <c r="M53" s="82">
        <v>1</v>
      </c>
      <c r="N53" s="82">
        <v>18.3</v>
      </c>
      <c r="O53" s="82">
        <v>0.06</v>
      </c>
      <c r="P53" s="82">
        <v>0</v>
      </c>
      <c r="Q53" s="82">
        <v>0</v>
      </c>
      <c r="R53" s="82">
        <v>0</v>
      </c>
      <c r="S53" s="82">
        <v>0</v>
      </c>
      <c r="T53" s="82">
        <v>60</v>
      </c>
      <c r="U53" s="82">
        <v>3</v>
      </c>
      <c r="V53" s="82">
        <v>5</v>
      </c>
      <c r="W53" s="82">
        <v>0</v>
      </c>
      <c r="X53" s="82">
        <v>0</v>
      </c>
      <c r="Y53" s="82">
        <v>0</v>
      </c>
    </row>
    <row r="54" spans="1:25" s="45" customFormat="1" ht="22.05" customHeight="1" x14ac:dyDescent="0.3">
      <c r="A54" s="20"/>
      <c r="B54" s="42"/>
      <c r="C54" s="228" t="s">
        <v>105</v>
      </c>
      <c r="D54" s="228"/>
      <c r="E54" s="44">
        <f>SUM(E48:E53)</f>
        <v>575</v>
      </c>
      <c r="F54" s="55">
        <f>SUM(F48:F53)</f>
        <v>16.759599999999999</v>
      </c>
      <c r="G54" s="55">
        <f>SUM(G48:G53)</f>
        <v>13.7628</v>
      </c>
      <c r="H54" s="55">
        <f>SUM(H48:H53)</f>
        <v>82.468000000000004</v>
      </c>
      <c r="I54" s="55">
        <f>SUM(I48:I53)</f>
        <v>534.13580000000002</v>
      </c>
      <c r="J54" s="44"/>
      <c r="K54" s="55">
        <f>SUM(K48:K53)</f>
        <v>102</v>
      </c>
      <c r="L54" s="133"/>
      <c r="M54" s="102">
        <f t="shared" ref="M54:Y54" si="14">SUM(M48:M53)</f>
        <v>1.3830333333333333</v>
      </c>
      <c r="N54" s="102">
        <f t="shared" si="14"/>
        <v>18.637066666666666</v>
      </c>
      <c r="O54" s="102">
        <f t="shared" si="14"/>
        <v>174.24</v>
      </c>
      <c r="P54" s="102">
        <f t="shared" si="14"/>
        <v>5.056</v>
      </c>
      <c r="Q54" s="102">
        <f t="shared" si="14"/>
        <v>18.606000000000002</v>
      </c>
      <c r="R54" s="102">
        <f t="shared" si="14"/>
        <v>811.52</v>
      </c>
      <c r="S54" s="102">
        <f t="shared" si="14"/>
        <v>715.98</v>
      </c>
      <c r="T54" s="102">
        <f t="shared" si="14"/>
        <v>124.999</v>
      </c>
      <c r="U54" s="102">
        <f t="shared" si="14"/>
        <v>103.82000000000001</v>
      </c>
      <c r="V54" s="102">
        <f t="shared" si="14"/>
        <v>187.13</v>
      </c>
      <c r="W54" s="102">
        <f t="shared" si="14"/>
        <v>3.1253333333333333</v>
      </c>
      <c r="X54" s="102">
        <f t="shared" si="14"/>
        <v>163.66999999999999</v>
      </c>
      <c r="Y54" s="102">
        <f t="shared" si="14"/>
        <v>37.828000000000003</v>
      </c>
    </row>
    <row r="55" spans="1:25" s="47" customFormat="1" ht="22.05" customHeight="1" x14ac:dyDescent="0.3">
      <c r="A55" s="14"/>
      <c r="B55" s="35"/>
      <c r="C55" s="14"/>
      <c r="D55" s="14"/>
      <c r="E55" s="14"/>
      <c r="F55" s="36"/>
      <c r="G55" s="36"/>
      <c r="H55" s="36"/>
      <c r="I55" s="36"/>
      <c r="J55" s="14"/>
      <c r="K55" s="61"/>
      <c r="L55" s="61"/>
    </row>
    <row r="56" spans="1:25" s="45" customFormat="1" ht="22.05" customHeight="1" x14ac:dyDescent="0.3">
      <c r="A56" s="20"/>
      <c r="B56" s="225" t="s">
        <v>57</v>
      </c>
      <c r="C56" s="225"/>
      <c r="D56" s="225"/>
      <c r="E56" s="225"/>
      <c r="F56" s="225"/>
      <c r="G56" s="225"/>
      <c r="H56" s="225"/>
      <c r="I56" s="225"/>
      <c r="J56" s="225"/>
      <c r="K56" s="225"/>
      <c r="L56" s="117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</row>
    <row r="57" spans="1:25" s="45" customFormat="1" ht="22.05" customHeight="1" x14ac:dyDescent="0.3">
      <c r="A57" s="20"/>
      <c r="B57" s="231" t="s">
        <v>70</v>
      </c>
      <c r="C57" s="225" t="s">
        <v>1</v>
      </c>
      <c r="D57" s="225"/>
      <c r="E57" s="231" t="s">
        <v>71</v>
      </c>
      <c r="F57" s="225" t="s">
        <v>3</v>
      </c>
      <c r="G57" s="225"/>
      <c r="H57" s="225"/>
      <c r="I57" s="231" t="s">
        <v>142</v>
      </c>
      <c r="J57" s="225" t="s">
        <v>72</v>
      </c>
      <c r="K57" s="225" t="s">
        <v>180</v>
      </c>
      <c r="L57" s="120"/>
      <c r="M57" s="260" t="s">
        <v>156</v>
      </c>
      <c r="N57" s="260"/>
      <c r="O57" s="260"/>
      <c r="P57" s="260"/>
      <c r="Q57" s="260"/>
      <c r="R57" s="260"/>
      <c r="S57" s="260"/>
      <c r="T57" s="260"/>
      <c r="U57" s="260"/>
      <c r="V57" s="260"/>
      <c r="W57" s="260"/>
      <c r="X57" s="260"/>
      <c r="Y57" s="260"/>
    </row>
    <row r="58" spans="1:25" s="45" customFormat="1" ht="44.4" customHeight="1" x14ac:dyDescent="0.3">
      <c r="A58" s="20"/>
      <c r="B58" s="231"/>
      <c r="C58" s="225"/>
      <c r="D58" s="225"/>
      <c r="E58" s="231"/>
      <c r="F58" s="213" t="s">
        <v>139</v>
      </c>
      <c r="G58" s="213" t="s">
        <v>140</v>
      </c>
      <c r="H58" s="213" t="s">
        <v>141</v>
      </c>
      <c r="I58" s="231"/>
      <c r="J58" s="225"/>
      <c r="K58" s="225"/>
      <c r="L58" s="121"/>
      <c r="M58" s="262" t="s">
        <v>74</v>
      </c>
      <c r="N58" s="262"/>
      <c r="O58" s="262"/>
      <c r="P58" s="262"/>
      <c r="Q58" s="262"/>
      <c r="R58" s="262"/>
      <c r="S58" s="262"/>
      <c r="T58" s="262"/>
      <c r="U58" s="262"/>
      <c r="V58" s="262"/>
      <c r="W58" s="262"/>
      <c r="X58" s="262"/>
      <c r="Y58" s="262"/>
    </row>
    <row r="59" spans="1:25" s="47" customFormat="1" ht="22.05" customHeight="1" x14ac:dyDescent="0.3">
      <c r="A59" s="14"/>
      <c r="B59" s="229" t="s">
        <v>74</v>
      </c>
      <c r="C59" s="229"/>
      <c r="D59" s="229"/>
      <c r="E59" s="229"/>
      <c r="F59" s="229"/>
      <c r="G59" s="229"/>
      <c r="H59" s="229"/>
      <c r="I59" s="229"/>
      <c r="J59" s="229"/>
      <c r="K59" s="229"/>
      <c r="L59" s="141"/>
      <c r="M59" s="80" t="s">
        <v>143</v>
      </c>
      <c r="N59" s="80" t="s">
        <v>144</v>
      </c>
      <c r="O59" s="80" t="s">
        <v>145</v>
      </c>
      <c r="P59" s="80" t="s">
        <v>147</v>
      </c>
      <c r="Q59" s="80" t="s">
        <v>146</v>
      </c>
      <c r="R59" s="80" t="s">
        <v>148</v>
      </c>
      <c r="S59" s="80" t="s">
        <v>149</v>
      </c>
      <c r="T59" s="80" t="s">
        <v>150</v>
      </c>
      <c r="U59" s="80" t="s">
        <v>151</v>
      </c>
      <c r="V59" s="80" t="s">
        <v>152</v>
      </c>
      <c r="W59" s="80" t="s">
        <v>153</v>
      </c>
      <c r="X59" s="80" t="s">
        <v>154</v>
      </c>
      <c r="Y59" s="80" t="s">
        <v>155</v>
      </c>
    </row>
    <row r="60" spans="1:25" s="113" customFormat="1" ht="22.05" customHeight="1" x14ac:dyDescent="0.3">
      <c r="A60" s="20"/>
      <c r="B60" s="230" t="s">
        <v>4</v>
      </c>
      <c r="C60" s="224" t="s">
        <v>198</v>
      </c>
      <c r="D60" s="224"/>
      <c r="E60" s="48">
        <v>80</v>
      </c>
      <c r="F60" s="49">
        <v>0.89</v>
      </c>
      <c r="G60" s="49">
        <v>2.67</v>
      </c>
      <c r="H60" s="49">
        <v>6.37</v>
      </c>
      <c r="I60" s="49">
        <v>52.6</v>
      </c>
      <c r="J60" s="50">
        <v>15</v>
      </c>
      <c r="K60" s="133">
        <v>13.23</v>
      </c>
      <c r="L60" s="133"/>
      <c r="M60" s="112">
        <v>0.02</v>
      </c>
      <c r="N60" s="112">
        <v>0.03</v>
      </c>
      <c r="O60" s="112">
        <v>0</v>
      </c>
      <c r="P60" s="112">
        <v>0</v>
      </c>
      <c r="Q60" s="112">
        <v>5.04</v>
      </c>
      <c r="R60" s="112">
        <v>0</v>
      </c>
      <c r="S60" s="112">
        <v>0</v>
      </c>
      <c r="T60" s="112">
        <v>27.61</v>
      </c>
      <c r="U60" s="112">
        <v>14.61</v>
      </c>
      <c r="V60" s="112">
        <v>24.13</v>
      </c>
      <c r="W60" s="112">
        <v>0.72</v>
      </c>
      <c r="X60" s="112">
        <v>0</v>
      </c>
      <c r="Y60" s="112">
        <v>0</v>
      </c>
    </row>
    <row r="61" spans="1:25" s="113" customFormat="1" ht="22.05" customHeight="1" x14ac:dyDescent="0.3">
      <c r="A61" s="20"/>
      <c r="B61" s="230"/>
      <c r="C61" s="232" t="s">
        <v>33</v>
      </c>
      <c r="D61" s="232"/>
      <c r="E61" s="48">
        <v>150</v>
      </c>
      <c r="F61" s="49">
        <v>3</v>
      </c>
      <c r="G61" s="49">
        <v>5.7</v>
      </c>
      <c r="H61" s="49">
        <v>23.7</v>
      </c>
      <c r="I61" s="49">
        <v>158.30000000000001</v>
      </c>
      <c r="J61" s="50" t="s">
        <v>32</v>
      </c>
      <c r="K61" s="133">
        <v>22.53</v>
      </c>
      <c r="L61" s="133"/>
      <c r="M61" s="112">
        <v>0.12</v>
      </c>
      <c r="N61" s="112">
        <v>7.0000000000000007E-2</v>
      </c>
      <c r="O61" s="112">
        <v>23</v>
      </c>
      <c r="P61" s="112">
        <v>0.9</v>
      </c>
      <c r="Q61" s="112">
        <v>10</v>
      </c>
      <c r="R61" s="112">
        <v>239</v>
      </c>
      <c r="S61" s="112">
        <v>753</v>
      </c>
      <c r="T61" s="112">
        <v>40</v>
      </c>
      <c r="U61" s="112">
        <v>28</v>
      </c>
      <c r="V61" s="112">
        <v>84</v>
      </c>
      <c r="W61" s="112">
        <v>1</v>
      </c>
      <c r="X61" s="112">
        <v>28.5</v>
      </c>
      <c r="Y61" s="112">
        <v>0.8</v>
      </c>
    </row>
    <row r="62" spans="1:25" s="113" customFormat="1" ht="33" customHeight="1" x14ac:dyDescent="0.3">
      <c r="A62" s="14"/>
      <c r="B62" s="230"/>
      <c r="C62" s="224" t="s">
        <v>220</v>
      </c>
      <c r="D62" s="224"/>
      <c r="E62" s="48">
        <v>130</v>
      </c>
      <c r="F62" s="49">
        <v>14.7</v>
      </c>
      <c r="G62" s="49">
        <v>12.3</v>
      </c>
      <c r="H62" s="49">
        <v>8.6</v>
      </c>
      <c r="I62" s="49">
        <v>203.2</v>
      </c>
      <c r="J62" s="50" t="s">
        <v>21</v>
      </c>
      <c r="K62" s="133">
        <v>54.3</v>
      </c>
      <c r="L62" s="133"/>
      <c r="M62" s="112">
        <v>0.04</v>
      </c>
      <c r="N62" s="112">
        <v>0.1</v>
      </c>
      <c r="O62" s="112">
        <v>1.7</v>
      </c>
      <c r="P62" s="112">
        <v>1.9</v>
      </c>
      <c r="Q62" s="112">
        <v>0</v>
      </c>
      <c r="R62" s="112">
        <v>268.89999999999998</v>
      </c>
      <c r="S62" s="112">
        <v>282.2</v>
      </c>
      <c r="T62" s="112">
        <v>26.7</v>
      </c>
      <c r="U62" s="112">
        <v>18.899999999999999</v>
      </c>
      <c r="V62" s="112">
        <v>156.69999999999999</v>
      </c>
      <c r="W62" s="112">
        <v>2.2000000000000002</v>
      </c>
      <c r="X62" s="112">
        <v>29.7</v>
      </c>
      <c r="Y62" s="112">
        <v>1.6</v>
      </c>
    </row>
    <row r="63" spans="1:25" s="45" customFormat="1" ht="22.05" customHeight="1" x14ac:dyDescent="0.3">
      <c r="A63" s="20"/>
      <c r="B63" s="230"/>
      <c r="C63" s="224" t="s">
        <v>111</v>
      </c>
      <c r="D63" s="224"/>
      <c r="E63" s="48">
        <v>50</v>
      </c>
      <c r="F63" s="49">
        <f>F16/100*50</f>
        <v>1.7399999999999998</v>
      </c>
      <c r="G63" s="49">
        <f t="shared" ref="G63:I63" si="15">G16/100*50</f>
        <v>0.32</v>
      </c>
      <c r="H63" s="49">
        <f t="shared" si="15"/>
        <v>10.7</v>
      </c>
      <c r="I63" s="49">
        <f t="shared" si="15"/>
        <v>67.11</v>
      </c>
      <c r="J63" s="48" t="s">
        <v>60</v>
      </c>
      <c r="K63" s="133">
        <v>4.55</v>
      </c>
      <c r="L63" s="133"/>
      <c r="M63" s="82">
        <f t="shared" ref="M63:Y63" si="16">M10/30*50</f>
        <v>0.20500000000000002</v>
      </c>
      <c r="N63" s="82">
        <f t="shared" si="16"/>
        <v>0.12666666666666665</v>
      </c>
      <c r="O63" s="82">
        <f t="shared" si="16"/>
        <v>0</v>
      </c>
      <c r="P63" s="82">
        <f t="shared" si="16"/>
        <v>2.8000000000000003</v>
      </c>
      <c r="Q63" s="82">
        <f t="shared" si="16"/>
        <v>0.1</v>
      </c>
      <c r="R63" s="82">
        <f t="shared" si="16"/>
        <v>236.50000000000003</v>
      </c>
      <c r="S63" s="82">
        <f t="shared" si="16"/>
        <v>62.5</v>
      </c>
      <c r="T63" s="82">
        <f t="shared" si="16"/>
        <v>2.4500000000000002</v>
      </c>
      <c r="U63" s="82">
        <f t="shared" si="16"/>
        <v>20.5</v>
      </c>
      <c r="V63" s="82">
        <f t="shared" si="16"/>
        <v>64.5</v>
      </c>
      <c r="W63" s="82">
        <f t="shared" si="16"/>
        <v>1.8000000000000003</v>
      </c>
      <c r="X63" s="82">
        <f t="shared" si="16"/>
        <v>0</v>
      </c>
      <c r="Y63" s="82">
        <f t="shared" si="16"/>
        <v>14.400000000000002</v>
      </c>
    </row>
    <row r="64" spans="1:25" s="45" customFormat="1" ht="22.05" customHeight="1" x14ac:dyDescent="0.3">
      <c r="A64" s="20"/>
      <c r="B64" s="230"/>
      <c r="C64" s="224" t="s">
        <v>115</v>
      </c>
      <c r="D64" s="224"/>
      <c r="E64" s="48">
        <v>35</v>
      </c>
      <c r="F64" s="49">
        <f>F17/100*35</f>
        <v>0.66500000000000004</v>
      </c>
      <c r="G64" s="49">
        <f t="shared" ref="G64:I64" si="17">G17/100*35</f>
        <v>0.15750000000000003</v>
      </c>
      <c r="H64" s="49">
        <f t="shared" si="17"/>
        <v>8.75</v>
      </c>
      <c r="I64" s="49">
        <f t="shared" si="17"/>
        <v>43.305500000000002</v>
      </c>
      <c r="J64" s="48" t="s">
        <v>60</v>
      </c>
      <c r="K64" s="133">
        <v>3.18</v>
      </c>
      <c r="L64" s="133"/>
      <c r="M64" s="82">
        <f t="shared" ref="M64:Y64" si="18">M11/30*35</f>
        <v>0.15166666666666667</v>
      </c>
      <c r="N64" s="82">
        <f t="shared" si="18"/>
        <v>0.11666666666666667</v>
      </c>
      <c r="O64" s="82">
        <f t="shared" si="18"/>
        <v>0</v>
      </c>
      <c r="P64" s="82">
        <f t="shared" si="18"/>
        <v>1.33</v>
      </c>
      <c r="Q64" s="82">
        <f t="shared" si="18"/>
        <v>0.14000000000000001</v>
      </c>
      <c r="R64" s="82">
        <f t="shared" si="18"/>
        <v>211.05</v>
      </c>
      <c r="S64" s="82">
        <f t="shared" si="18"/>
        <v>25.55</v>
      </c>
      <c r="T64" s="82">
        <f t="shared" si="18"/>
        <v>0.42</v>
      </c>
      <c r="U64" s="82">
        <f t="shared" si="18"/>
        <v>14</v>
      </c>
      <c r="V64" s="82">
        <f t="shared" si="18"/>
        <v>43.75</v>
      </c>
      <c r="W64" s="82">
        <f t="shared" si="18"/>
        <v>0.99166666666666659</v>
      </c>
      <c r="X64" s="82">
        <f t="shared" si="18"/>
        <v>0</v>
      </c>
      <c r="Y64" s="82">
        <f t="shared" si="18"/>
        <v>10.815</v>
      </c>
    </row>
    <row r="65" spans="1:25" s="45" customFormat="1" ht="22.05" customHeight="1" x14ac:dyDescent="0.3">
      <c r="A65" s="20"/>
      <c r="B65" s="230"/>
      <c r="C65" s="224" t="s">
        <v>23</v>
      </c>
      <c r="D65" s="224"/>
      <c r="E65" s="48">
        <v>200</v>
      </c>
      <c r="F65" s="49">
        <v>0.2</v>
      </c>
      <c r="G65" s="49">
        <v>0</v>
      </c>
      <c r="H65" s="49">
        <v>6.4</v>
      </c>
      <c r="I65" s="49">
        <v>26.4</v>
      </c>
      <c r="J65" s="50" t="s">
        <v>22</v>
      </c>
      <c r="K65" s="133">
        <v>1.25</v>
      </c>
      <c r="L65" s="133"/>
      <c r="M65" s="82">
        <v>0</v>
      </c>
      <c r="N65" s="82">
        <v>0</v>
      </c>
      <c r="O65" s="82">
        <v>0</v>
      </c>
      <c r="P65" s="82">
        <v>0.1</v>
      </c>
      <c r="Q65" s="82">
        <v>0</v>
      </c>
      <c r="R65" s="82">
        <v>1</v>
      </c>
      <c r="S65" s="82">
        <v>25</v>
      </c>
      <c r="T65" s="82">
        <v>4</v>
      </c>
      <c r="U65" s="82">
        <v>4</v>
      </c>
      <c r="V65" s="82">
        <v>7</v>
      </c>
      <c r="W65" s="82">
        <v>1</v>
      </c>
      <c r="X65" s="82">
        <v>0</v>
      </c>
      <c r="Y65" s="82">
        <v>0</v>
      </c>
    </row>
    <row r="66" spans="1:25" s="20" customFormat="1" ht="22.05" customHeight="1" x14ac:dyDescent="0.3">
      <c r="B66" s="42"/>
      <c r="C66" s="228" t="s">
        <v>105</v>
      </c>
      <c r="D66" s="228"/>
      <c r="E66" s="44">
        <f>SUM(E60:E65)</f>
        <v>645</v>
      </c>
      <c r="F66" s="55">
        <f>SUM(F60:F65)</f>
        <v>21.194999999999997</v>
      </c>
      <c r="G66" s="55">
        <f>SUM(G60:G65)</f>
        <v>21.147500000000001</v>
      </c>
      <c r="H66" s="55">
        <f>SUM(H60:H65)</f>
        <v>64.52000000000001</v>
      </c>
      <c r="I66" s="55">
        <f>SUM(I60:I65)</f>
        <v>550.91550000000007</v>
      </c>
      <c r="J66" s="44"/>
      <c r="K66" s="55">
        <f>SUM(K60:K65)</f>
        <v>99.04</v>
      </c>
      <c r="L66" s="133"/>
      <c r="M66" s="103">
        <f t="shared" ref="M66:Y66" si="19">SUM(M60:M65)</f>
        <v>0.53666666666666663</v>
      </c>
      <c r="N66" s="103">
        <f t="shared" si="19"/>
        <v>0.44333333333333336</v>
      </c>
      <c r="O66" s="103">
        <f t="shared" si="19"/>
        <v>24.7</v>
      </c>
      <c r="P66" s="103">
        <f t="shared" si="19"/>
        <v>7.0299999999999994</v>
      </c>
      <c r="Q66" s="103">
        <f t="shared" si="19"/>
        <v>15.28</v>
      </c>
      <c r="R66" s="103">
        <f t="shared" si="19"/>
        <v>956.45</v>
      </c>
      <c r="S66" s="103">
        <f t="shared" si="19"/>
        <v>1148.25</v>
      </c>
      <c r="T66" s="103">
        <f t="shared" si="19"/>
        <v>101.18</v>
      </c>
      <c r="U66" s="103">
        <f t="shared" si="19"/>
        <v>100.00999999999999</v>
      </c>
      <c r="V66" s="103">
        <f t="shared" si="19"/>
        <v>380.08</v>
      </c>
      <c r="W66" s="103">
        <f t="shared" si="19"/>
        <v>7.7116666666666669</v>
      </c>
      <c r="X66" s="103">
        <f t="shared" si="19"/>
        <v>58.2</v>
      </c>
      <c r="Y66" s="103">
        <f t="shared" si="19"/>
        <v>27.615000000000002</v>
      </c>
    </row>
    <row r="67" spans="1:25" s="20" customFormat="1" ht="22.05" customHeight="1" x14ac:dyDescent="0.3">
      <c r="B67" s="38"/>
      <c r="C67" s="39"/>
      <c r="D67" s="39"/>
      <c r="E67" s="84"/>
      <c r="F67" s="91"/>
      <c r="G67" s="91"/>
      <c r="H67" s="91"/>
      <c r="I67" s="91"/>
      <c r="J67" s="84"/>
      <c r="K67" s="117"/>
      <c r="L67" s="117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</row>
    <row r="68" spans="1:25" s="45" customFormat="1" ht="22.05" customHeight="1" x14ac:dyDescent="0.3">
      <c r="A68" s="20"/>
      <c r="B68" s="226"/>
      <c r="C68" s="226"/>
      <c r="D68" s="226"/>
      <c r="E68" s="20"/>
      <c r="F68" s="20"/>
      <c r="G68" s="20"/>
      <c r="H68" s="20"/>
      <c r="I68" s="56"/>
      <c r="J68" s="56"/>
      <c r="K68" s="117"/>
      <c r="L68" s="117"/>
    </row>
    <row r="69" spans="1:25" s="45" customFormat="1" ht="22.05" customHeight="1" x14ac:dyDescent="0.3">
      <c r="A69" s="20"/>
      <c r="B69" s="225" t="s">
        <v>58</v>
      </c>
      <c r="C69" s="225"/>
      <c r="D69" s="225"/>
      <c r="E69" s="225"/>
      <c r="F69" s="225"/>
      <c r="G69" s="225"/>
      <c r="H69" s="225"/>
      <c r="I69" s="225"/>
      <c r="J69" s="225"/>
      <c r="K69" s="225"/>
      <c r="L69" s="117"/>
      <c r="M69" s="260"/>
      <c r="N69" s="260"/>
      <c r="O69" s="260"/>
      <c r="P69" s="260"/>
      <c r="Q69" s="260"/>
      <c r="R69" s="260"/>
      <c r="S69" s="260"/>
      <c r="T69" s="260"/>
      <c r="U69" s="260"/>
      <c r="V69" s="260"/>
      <c r="W69" s="260"/>
      <c r="X69" s="260"/>
      <c r="Y69" s="260"/>
    </row>
    <row r="70" spans="1:25" s="45" customFormat="1" ht="22.05" customHeight="1" x14ac:dyDescent="0.3">
      <c r="A70" s="20"/>
      <c r="B70" s="231" t="s">
        <v>70</v>
      </c>
      <c r="C70" s="225" t="s">
        <v>1</v>
      </c>
      <c r="D70" s="225"/>
      <c r="E70" s="231" t="s">
        <v>71</v>
      </c>
      <c r="F70" s="225" t="s">
        <v>3</v>
      </c>
      <c r="G70" s="225"/>
      <c r="H70" s="225"/>
      <c r="I70" s="231" t="s">
        <v>142</v>
      </c>
      <c r="J70" s="225" t="s">
        <v>72</v>
      </c>
      <c r="K70" s="225" t="s">
        <v>180</v>
      </c>
      <c r="L70" s="120"/>
      <c r="M70" s="260" t="s">
        <v>156</v>
      </c>
      <c r="N70" s="260"/>
      <c r="O70" s="260"/>
      <c r="P70" s="260"/>
      <c r="Q70" s="260"/>
      <c r="R70" s="260"/>
      <c r="S70" s="260"/>
      <c r="T70" s="260"/>
      <c r="U70" s="260"/>
      <c r="V70" s="260"/>
      <c r="W70" s="260"/>
      <c r="X70" s="260"/>
      <c r="Y70" s="260"/>
    </row>
    <row r="71" spans="1:25" s="45" customFormat="1" ht="45" customHeight="1" x14ac:dyDescent="0.3">
      <c r="A71" s="20"/>
      <c r="B71" s="231"/>
      <c r="C71" s="225"/>
      <c r="D71" s="225"/>
      <c r="E71" s="231"/>
      <c r="F71" s="213" t="s">
        <v>139</v>
      </c>
      <c r="G71" s="213" t="s">
        <v>140</v>
      </c>
      <c r="H71" s="213" t="s">
        <v>141</v>
      </c>
      <c r="I71" s="231"/>
      <c r="J71" s="225"/>
      <c r="K71" s="225"/>
      <c r="L71" s="121"/>
      <c r="M71" s="262" t="s">
        <v>101</v>
      </c>
      <c r="N71" s="262"/>
      <c r="O71" s="262"/>
      <c r="P71" s="262"/>
      <c r="Q71" s="262"/>
      <c r="R71" s="262"/>
      <c r="S71" s="262"/>
      <c r="T71" s="262"/>
      <c r="U71" s="262"/>
      <c r="V71" s="262"/>
      <c r="W71" s="262"/>
      <c r="X71" s="262"/>
      <c r="Y71" s="262"/>
    </row>
    <row r="72" spans="1:25" s="47" customFormat="1" ht="22.05" customHeight="1" x14ac:dyDescent="0.3">
      <c r="A72" s="14"/>
      <c r="B72" s="229" t="s">
        <v>101</v>
      </c>
      <c r="C72" s="229"/>
      <c r="D72" s="229"/>
      <c r="E72" s="229"/>
      <c r="F72" s="229"/>
      <c r="G72" s="229"/>
      <c r="H72" s="229"/>
      <c r="I72" s="229"/>
      <c r="J72" s="229"/>
      <c r="K72" s="229"/>
      <c r="L72" s="141"/>
      <c r="M72" s="80" t="s">
        <v>143</v>
      </c>
      <c r="N72" s="80" t="s">
        <v>144</v>
      </c>
      <c r="O72" s="80" t="s">
        <v>145</v>
      </c>
      <c r="P72" s="80" t="s">
        <v>147</v>
      </c>
      <c r="Q72" s="80" t="s">
        <v>146</v>
      </c>
      <c r="R72" s="80" t="s">
        <v>148</v>
      </c>
      <c r="S72" s="80" t="s">
        <v>149</v>
      </c>
      <c r="T72" s="80" t="s">
        <v>150</v>
      </c>
      <c r="U72" s="80" t="s">
        <v>151</v>
      </c>
      <c r="V72" s="80" t="s">
        <v>152</v>
      </c>
      <c r="W72" s="80" t="s">
        <v>153</v>
      </c>
      <c r="X72" s="80" t="s">
        <v>154</v>
      </c>
      <c r="Y72" s="80" t="s">
        <v>155</v>
      </c>
    </row>
    <row r="73" spans="1:25" s="113" customFormat="1" ht="22.05" customHeight="1" x14ac:dyDescent="0.3">
      <c r="A73" s="20"/>
      <c r="B73" s="230" t="s">
        <v>4</v>
      </c>
      <c r="C73" s="232" t="s">
        <v>215</v>
      </c>
      <c r="D73" s="232"/>
      <c r="E73" s="48">
        <v>80</v>
      </c>
      <c r="F73" s="49">
        <v>1</v>
      </c>
      <c r="G73" s="49">
        <v>7.1</v>
      </c>
      <c r="H73" s="49">
        <v>6</v>
      </c>
      <c r="I73" s="49">
        <v>91.4</v>
      </c>
      <c r="J73" s="50" t="s">
        <v>216</v>
      </c>
      <c r="K73" s="133">
        <v>13.62</v>
      </c>
      <c r="L73" s="133"/>
      <c r="M73" s="112">
        <v>0.02</v>
      </c>
      <c r="N73" s="112">
        <v>0.01</v>
      </c>
      <c r="O73" s="112">
        <v>17.600000000000001</v>
      </c>
      <c r="P73" s="112">
        <v>0.2</v>
      </c>
      <c r="Q73" s="112">
        <v>1</v>
      </c>
      <c r="R73" s="112">
        <v>94</v>
      </c>
      <c r="S73" s="112">
        <v>172</v>
      </c>
      <c r="T73" s="112">
        <v>19</v>
      </c>
      <c r="U73" s="112">
        <v>12</v>
      </c>
      <c r="V73" s="112">
        <v>27</v>
      </c>
      <c r="W73" s="112">
        <v>0</v>
      </c>
      <c r="X73" s="112">
        <v>10.5</v>
      </c>
      <c r="Y73" s="112">
        <v>0.2</v>
      </c>
    </row>
    <row r="74" spans="1:25" s="113" customFormat="1" ht="22.05" customHeight="1" x14ac:dyDescent="0.3">
      <c r="A74" s="20"/>
      <c r="B74" s="230"/>
      <c r="C74" s="224" t="s">
        <v>78</v>
      </c>
      <c r="D74" s="224"/>
      <c r="E74" s="48">
        <v>200</v>
      </c>
      <c r="F74" s="49">
        <v>3.93</v>
      </c>
      <c r="G74" s="49">
        <v>13.84</v>
      </c>
      <c r="H74" s="49">
        <v>13.01</v>
      </c>
      <c r="I74" s="49">
        <v>202</v>
      </c>
      <c r="J74" s="50" t="s">
        <v>79</v>
      </c>
      <c r="K74" s="133">
        <v>58.41</v>
      </c>
      <c r="L74" s="133"/>
      <c r="M74" s="112">
        <v>0.08</v>
      </c>
      <c r="N74" s="112">
        <v>0.13</v>
      </c>
      <c r="O74" s="112">
        <v>132</v>
      </c>
      <c r="P74" s="112">
        <v>4.47</v>
      </c>
      <c r="Q74" s="112">
        <v>32</v>
      </c>
      <c r="R74" s="112">
        <v>391.8</v>
      </c>
      <c r="S74" s="112">
        <v>444.8</v>
      </c>
      <c r="T74" s="112">
        <v>81.3</v>
      </c>
      <c r="U74" s="112">
        <v>32.549999999999997</v>
      </c>
      <c r="V74" s="112">
        <v>137.1</v>
      </c>
      <c r="W74" s="112">
        <v>2.08</v>
      </c>
      <c r="X74" s="112">
        <v>21.2</v>
      </c>
      <c r="Y74" s="112">
        <v>0.6</v>
      </c>
    </row>
    <row r="75" spans="1:25" s="45" customFormat="1" ht="22.05" customHeight="1" x14ac:dyDescent="0.3">
      <c r="A75" s="20"/>
      <c r="B75" s="230"/>
      <c r="C75" s="224" t="s">
        <v>111</v>
      </c>
      <c r="D75" s="224"/>
      <c r="E75" s="48">
        <v>40</v>
      </c>
      <c r="F75" s="49">
        <f>F16/100*40</f>
        <v>1.3919999999999999</v>
      </c>
      <c r="G75" s="49">
        <f t="shared" ref="G75:I75" si="20">G16/100*40</f>
        <v>0.25600000000000001</v>
      </c>
      <c r="H75" s="49">
        <f t="shared" si="20"/>
        <v>8.56</v>
      </c>
      <c r="I75" s="49">
        <f t="shared" si="20"/>
        <v>53.688000000000002</v>
      </c>
      <c r="J75" s="48" t="s">
        <v>60</v>
      </c>
      <c r="K75" s="133">
        <v>3.64</v>
      </c>
      <c r="L75" s="133"/>
      <c r="M75" s="82">
        <f t="shared" ref="M75:Y75" si="21">M10/30*40</f>
        <v>0.16400000000000001</v>
      </c>
      <c r="N75" s="82">
        <f t="shared" si="21"/>
        <v>0.10133333333333333</v>
      </c>
      <c r="O75" s="82">
        <f t="shared" si="21"/>
        <v>0</v>
      </c>
      <c r="P75" s="82">
        <f t="shared" si="21"/>
        <v>2.2400000000000002</v>
      </c>
      <c r="Q75" s="82">
        <f t="shared" si="21"/>
        <v>0.08</v>
      </c>
      <c r="R75" s="82">
        <f t="shared" si="21"/>
        <v>189.20000000000002</v>
      </c>
      <c r="S75" s="82">
        <f t="shared" si="21"/>
        <v>50</v>
      </c>
      <c r="T75" s="82">
        <f t="shared" si="21"/>
        <v>1.96</v>
      </c>
      <c r="U75" s="82">
        <f t="shared" si="21"/>
        <v>16.400000000000002</v>
      </c>
      <c r="V75" s="82">
        <f t="shared" si="21"/>
        <v>51.6</v>
      </c>
      <c r="W75" s="82">
        <f t="shared" si="21"/>
        <v>1.4400000000000002</v>
      </c>
      <c r="X75" s="82">
        <f t="shared" si="21"/>
        <v>0</v>
      </c>
      <c r="Y75" s="82">
        <f t="shared" si="21"/>
        <v>11.520000000000001</v>
      </c>
    </row>
    <row r="76" spans="1:25" s="45" customFormat="1" ht="22.05" customHeight="1" x14ac:dyDescent="0.3">
      <c r="A76" s="20"/>
      <c r="B76" s="230"/>
      <c r="C76" s="224" t="s">
        <v>115</v>
      </c>
      <c r="D76" s="224"/>
      <c r="E76" s="48">
        <v>28</v>
      </c>
      <c r="F76" s="49">
        <f>F17/100*28</f>
        <v>0.53200000000000003</v>
      </c>
      <c r="G76" s="49">
        <f t="shared" ref="G76:I76" si="22">G17/100*28</f>
        <v>0.126</v>
      </c>
      <c r="H76" s="49">
        <f t="shared" si="22"/>
        <v>7</v>
      </c>
      <c r="I76" s="49">
        <f t="shared" si="22"/>
        <v>34.644400000000005</v>
      </c>
      <c r="J76" s="48" t="s">
        <v>60</v>
      </c>
      <c r="K76" s="133">
        <v>2.5499999999999998</v>
      </c>
      <c r="L76" s="133"/>
      <c r="M76" s="82">
        <f t="shared" ref="M76:Y76" si="23">M11/30*28</f>
        <v>0.12133333333333332</v>
      </c>
      <c r="N76" s="82">
        <f t="shared" si="23"/>
        <v>9.3333333333333338E-2</v>
      </c>
      <c r="O76" s="82">
        <f t="shared" si="23"/>
        <v>0</v>
      </c>
      <c r="P76" s="82">
        <f t="shared" si="23"/>
        <v>1.0640000000000001</v>
      </c>
      <c r="Q76" s="82">
        <f t="shared" si="23"/>
        <v>0.112</v>
      </c>
      <c r="R76" s="82">
        <f t="shared" si="23"/>
        <v>168.84</v>
      </c>
      <c r="S76" s="82">
        <f t="shared" si="23"/>
        <v>20.439999999999998</v>
      </c>
      <c r="T76" s="82">
        <f t="shared" si="23"/>
        <v>0.33600000000000002</v>
      </c>
      <c r="U76" s="82">
        <f t="shared" si="23"/>
        <v>11.200000000000001</v>
      </c>
      <c r="V76" s="82">
        <f t="shared" si="23"/>
        <v>35</v>
      </c>
      <c r="W76" s="82">
        <f t="shared" si="23"/>
        <v>0.79333333333333333</v>
      </c>
      <c r="X76" s="82">
        <f t="shared" si="23"/>
        <v>0</v>
      </c>
      <c r="Y76" s="82">
        <f t="shared" si="23"/>
        <v>8.6519999999999992</v>
      </c>
    </row>
    <row r="77" spans="1:25" s="45" customFormat="1" ht="22.05" customHeight="1" x14ac:dyDescent="0.3">
      <c r="A77" s="20"/>
      <c r="B77" s="230"/>
      <c r="C77" s="224" t="s">
        <v>199</v>
      </c>
      <c r="D77" s="224"/>
      <c r="E77" s="48">
        <v>200</v>
      </c>
      <c r="F77" s="49">
        <v>0.18</v>
      </c>
      <c r="G77" s="49">
        <v>0.04</v>
      </c>
      <c r="H77" s="49">
        <v>21.74</v>
      </c>
      <c r="I77" s="49">
        <v>82.48</v>
      </c>
      <c r="J77" s="50">
        <v>1201</v>
      </c>
      <c r="K77" s="133">
        <v>8.7799999999999994</v>
      </c>
      <c r="L77" s="133"/>
      <c r="M77" s="82">
        <v>0</v>
      </c>
      <c r="N77" s="82">
        <v>0</v>
      </c>
      <c r="O77" s="82">
        <v>0</v>
      </c>
      <c r="P77" s="82">
        <v>0.04</v>
      </c>
      <c r="Q77" s="82">
        <v>3.57</v>
      </c>
      <c r="R77" s="82">
        <v>3.57</v>
      </c>
      <c r="S77" s="82">
        <v>39.299999999999997</v>
      </c>
      <c r="T77" s="82">
        <v>7.14</v>
      </c>
      <c r="U77" s="82">
        <v>3.57</v>
      </c>
      <c r="V77" s="82">
        <v>3.57</v>
      </c>
      <c r="W77" s="82">
        <v>0</v>
      </c>
      <c r="X77" s="82">
        <v>0</v>
      </c>
      <c r="Y77" s="82">
        <v>0</v>
      </c>
    </row>
    <row r="78" spans="1:25" s="45" customFormat="1" ht="22.05" customHeight="1" x14ac:dyDescent="0.3">
      <c r="B78" s="214"/>
      <c r="C78" s="227" t="s">
        <v>63</v>
      </c>
      <c r="D78" s="227"/>
      <c r="E78" s="64">
        <v>50</v>
      </c>
      <c r="F78" s="58">
        <v>0.7</v>
      </c>
      <c r="G78" s="58">
        <v>3.45</v>
      </c>
      <c r="H78" s="58">
        <v>11.45</v>
      </c>
      <c r="I78" s="58">
        <v>80</v>
      </c>
      <c r="J78" s="59" t="s">
        <v>60</v>
      </c>
      <c r="K78" s="135">
        <v>15</v>
      </c>
      <c r="L78" s="193"/>
      <c r="M78" s="128">
        <v>0.06</v>
      </c>
      <c r="N78" s="82">
        <v>0.04</v>
      </c>
      <c r="O78" s="82">
        <v>0</v>
      </c>
      <c r="P78" s="82">
        <v>0</v>
      </c>
      <c r="Q78" s="82">
        <v>0</v>
      </c>
      <c r="R78" s="82">
        <v>0</v>
      </c>
      <c r="S78" s="82">
        <v>0</v>
      </c>
      <c r="T78" s="82">
        <v>19.28</v>
      </c>
      <c r="U78" s="82">
        <v>0</v>
      </c>
      <c r="V78" s="82">
        <v>0</v>
      </c>
      <c r="W78" s="82">
        <v>1.04</v>
      </c>
      <c r="X78" s="82">
        <v>0</v>
      </c>
      <c r="Y78" s="82">
        <v>0</v>
      </c>
    </row>
    <row r="79" spans="1:25" s="45" customFormat="1" ht="22.05" customHeight="1" x14ac:dyDescent="0.3">
      <c r="A79" s="14"/>
      <c r="B79" s="43"/>
      <c r="C79" s="228" t="s">
        <v>105</v>
      </c>
      <c r="D79" s="228"/>
      <c r="E79" s="44">
        <f>SUM(E73:E78)</f>
        <v>598</v>
      </c>
      <c r="F79" s="55">
        <f>SUM(F73:F78)</f>
        <v>7.7339999999999991</v>
      </c>
      <c r="G79" s="55">
        <f>SUM(G73:G78)</f>
        <v>24.811999999999998</v>
      </c>
      <c r="H79" s="55">
        <f>SUM(H73:H78)</f>
        <v>67.760000000000005</v>
      </c>
      <c r="I79" s="55">
        <f>SUM(I73:I78)</f>
        <v>544.2124</v>
      </c>
      <c r="J79" s="55"/>
      <c r="K79" s="55">
        <f>SUM(K73:K78)</f>
        <v>102</v>
      </c>
      <c r="L79" s="133"/>
      <c r="M79" s="102">
        <f>SUM(M73:M78)</f>
        <v>0.4453333333333333</v>
      </c>
      <c r="N79" s="102">
        <f t="shared" ref="N79:Y79" si="24">SUM(N73:N78)</f>
        <v>0.37466666666666665</v>
      </c>
      <c r="O79" s="102">
        <f t="shared" si="24"/>
        <v>149.6</v>
      </c>
      <c r="P79" s="102">
        <f t="shared" si="24"/>
        <v>8.0139999999999993</v>
      </c>
      <c r="Q79" s="102">
        <f t="shared" si="24"/>
        <v>36.762</v>
      </c>
      <c r="R79" s="102">
        <f t="shared" si="24"/>
        <v>847.41000000000008</v>
      </c>
      <c r="S79" s="102">
        <f t="shared" si="24"/>
        <v>726.54</v>
      </c>
      <c r="T79" s="102">
        <f t="shared" si="24"/>
        <v>129.01599999999999</v>
      </c>
      <c r="U79" s="102">
        <f t="shared" si="24"/>
        <v>75.72</v>
      </c>
      <c r="V79" s="102">
        <f t="shared" si="24"/>
        <v>254.26999999999998</v>
      </c>
      <c r="W79" s="102">
        <f t="shared" si="24"/>
        <v>5.3533333333333335</v>
      </c>
      <c r="X79" s="102">
        <f t="shared" si="24"/>
        <v>31.7</v>
      </c>
      <c r="Y79" s="102">
        <f t="shared" si="24"/>
        <v>20.972000000000001</v>
      </c>
    </row>
    <row r="80" spans="1:25" s="45" customFormat="1" ht="22.05" customHeight="1" x14ac:dyDescent="0.3">
      <c r="A80" s="14"/>
      <c r="B80" s="35"/>
      <c r="C80" s="31"/>
      <c r="D80" s="31"/>
      <c r="E80" s="14"/>
      <c r="F80" s="14"/>
      <c r="G80" s="14"/>
      <c r="H80" s="14"/>
      <c r="I80" s="14"/>
      <c r="J80" s="14"/>
      <c r="K80" s="117"/>
      <c r="L80" s="117"/>
    </row>
    <row r="81" spans="1:25" s="45" customFormat="1" ht="22.05" customHeight="1" x14ac:dyDescent="0.3">
      <c r="A81" s="20"/>
      <c r="B81" s="226"/>
      <c r="C81" s="226"/>
      <c r="D81" s="226"/>
      <c r="E81" s="21"/>
      <c r="F81" s="21"/>
      <c r="G81" s="21"/>
      <c r="H81" s="21"/>
      <c r="I81" s="21"/>
      <c r="J81" s="21"/>
      <c r="K81" s="117"/>
      <c r="L81" s="117"/>
    </row>
    <row r="82" spans="1:25" s="45" customFormat="1" ht="22.05" customHeight="1" x14ac:dyDescent="0.3">
      <c r="A82" s="20"/>
      <c r="B82" s="225" t="s">
        <v>57</v>
      </c>
      <c r="C82" s="225"/>
      <c r="D82" s="225"/>
      <c r="E82" s="225"/>
      <c r="F82" s="225"/>
      <c r="G82" s="225"/>
      <c r="H82" s="225"/>
      <c r="I82" s="225"/>
      <c r="J82" s="225"/>
      <c r="K82" s="225"/>
      <c r="L82" s="117"/>
      <c r="M82" s="260"/>
      <c r="N82" s="260"/>
      <c r="O82" s="260"/>
      <c r="P82" s="260"/>
      <c r="Q82" s="260"/>
      <c r="R82" s="260"/>
      <c r="S82" s="260"/>
      <c r="T82" s="260"/>
      <c r="U82" s="260"/>
      <c r="V82" s="260"/>
      <c r="W82" s="260"/>
      <c r="X82" s="260"/>
      <c r="Y82" s="260"/>
    </row>
    <row r="83" spans="1:25" s="45" customFormat="1" ht="22.05" customHeight="1" x14ac:dyDescent="0.3">
      <c r="A83" s="20"/>
      <c r="B83" s="231" t="s">
        <v>70</v>
      </c>
      <c r="C83" s="225" t="s">
        <v>1</v>
      </c>
      <c r="D83" s="225"/>
      <c r="E83" s="231" t="s">
        <v>71</v>
      </c>
      <c r="F83" s="225" t="s">
        <v>3</v>
      </c>
      <c r="G83" s="225"/>
      <c r="H83" s="225"/>
      <c r="I83" s="231" t="s">
        <v>142</v>
      </c>
      <c r="J83" s="225" t="s">
        <v>72</v>
      </c>
      <c r="K83" s="225" t="s">
        <v>180</v>
      </c>
      <c r="L83" s="120"/>
      <c r="M83" s="260" t="s">
        <v>156</v>
      </c>
      <c r="N83" s="260"/>
      <c r="O83" s="260"/>
      <c r="P83" s="260"/>
      <c r="Q83" s="260"/>
      <c r="R83" s="260"/>
      <c r="S83" s="260"/>
      <c r="T83" s="260"/>
      <c r="U83" s="260"/>
      <c r="V83" s="260"/>
      <c r="W83" s="260"/>
      <c r="X83" s="260"/>
      <c r="Y83" s="260"/>
    </row>
    <row r="84" spans="1:25" s="45" customFormat="1" ht="42.6" customHeight="1" x14ac:dyDescent="0.3">
      <c r="A84" s="20"/>
      <c r="B84" s="231"/>
      <c r="C84" s="225"/>
      <c r="D84" s="225"/>
      <c r="E84" s="231"/>
      <c r="F84" s="213" t="s">
        <v>139</v>
      </c>
      <c r="G84" s="213" t="s">
        <v>140</v>
      </c>
      <c r="H84" s="213" t="s">
        <v>141</v>
      </c>
      <c r="I84" s="231"/>
      <c r="J84" s="225"/>
      <c r="K84" s="225"/>
      <c r="L84" s="121"/>
      <c r="M84" s="262" t="s">
        <v>90</v>
      </c>
      <c r="N84" s="262"/>
      <c r="O84" s="262"/>
      <c r="P84" s="262"/>
      <c r="Q84" s="262"/>
      <c r="R84" s="262"/>
      <c r="S84" s="262"/>
      <c r="T84" s="262"/>
      <c r="U84" s="262"/>
      <c r="V84" s="262"/>
      <c r="W84" s="262"/>
      <c r="X84" s="262"/>
      <c r="Y84" s="262"/>
    </row>
    <row r="85" spans="1:25" s="47" customFormat="1" ht="22.05" customHeight="1" x14ac:dyDescent="0.3">
      <c r="A85" s="14"/>
      <c r="B85" s="229" t="s">
        <v>90</v>
      </c>
      <c r="C85" s="229"/>
      <c r="D85" s="229"/>
      <c r="E85" s="229"/>
      <c r="F85" s="229"/>
      <c r="G85" s="229"/>
      <c r="H85" s="229"/>
      <c r="I85" s="229"/>
      <c r="J85" s="229"/>
      <c r="K85" s="229"/>
      <c r="L85" s="141"/>
      <c r="M85" s="80" t="s">
        <v>143</v>
      </c>
      <c r="N85" s="80" t="s">
        <v>144</v>
      </c>
      <c r="O85" s="80" t="s">
        <v>145</v>
      </c>
      <c r="P85" s="80" t="s">
        <v>147</v>
      </c>
      <c r="Q85" s="80" t="s">
        <v>146</v>
      </c>
      <c r="R85" s="80" t="s">
        <v>148</v>
      </c>
      <c r="S85" s="80" t="s">
        <v>149</v>
      </c>
      <c r="T85" s="80" t="s">
        <v>150</v>
      </c>
      <c r="U85" s="80" t="s">
        <v>151</v>
      </c>
      <c r="V85" s="80" t="s">
        <v>152</v>
      </c>
      <c r="W85" s="80" t="s">
        <v>153</v>
      </c>
      <c r="X85" s="80" t="s">
        <v>154</v>
      </c>
      <c r="Y85" s="80" t="s">
        <v>155</v>
      </c>
    </row>
    <row r="86" spans="1:25" s="45" customFormat="1" ht="28.2" customHeight="1" x14ac:dyDescent="0.3">
      <c r="A86" s="20"/>
      <c r="B86" s="220"/>
      <c r="C86" s="224" t="s">
        <v>104</v>
      </c>
      <c r="D86" s="224"/>
      <c r="E86" s="48">
        <v>60</v>
      </c>
      <c r="F86" s="49">
        <v>2.2000000000000002</v>
      </c>
      <c r="G86" s="49">
        <v>5.5</v>
      </c>
      <c r="H86" s="49">
        <v>2.6</v>
      </c>
      <c r="I86" s="49">
        <v>68.400000000000006</v>
      </c>
      <c r="J86" s="50">
        <v>7</v>
      </c>
      <c r="K86" s="133">
        <v>10.220000000000001</v>
      </c>
      <c r="L86" s="133"/>
      <c r="M86" s="82">
        <v>0.04</v>
      </c>
      <c r="N86" s="82">
        <v>0.06</v>
      </c>
      <c r="O86" s="82">
        <v>15</v>
      </c>
      <c r="P86" s="82">
        <v>0</v>
      </c>
      <c r="Q86" s="82">
        <v>5.9</v>
      </c>
      <c r="R86" s="82">
        <v>0</v>
      </c>
      <c r="S86" s="82">
        <v>0</v>
      </c>
      <c r="T86" s="82">
        <v>22.36</v>
      </c>
      <c r="U86" s="82">
        <v>9.16</v>
      </c>
      <c r="V86" s="82">
        <v>39.590000000000003</v>
      </c>
      <c r="W86" s="82">
        <v>0.49</v>
      </c>
      <c r="X86" s="82">
        <v>0</v>
      </c>
      <c r="Y86" s="82">
        <v>0</v>
      </c>
    </row>
    <row r="87" spans="1:25" s="45" customFormat="1" ht="22.05" customHeight="1" x14ac:dyDescent="0.3">
      <c r="B87" s="230" t="s">
        <v>9</v>
      </c>
      <c r="C87" s="235" t="s">
        <v>10</v>
      </c>
      <c r="D87" s="235"/>
      <c r="E87" s="57">
        <v>150</v>
      </c>
      <c r="F87" s="58">
        <v>8.1999999999999993</v>
      </c>
      <c r="G87" s="58">
        <v>6.5</v>
      </c>
      <c r="H87" s="58">
        <v>42.8</v>
      </c>
      <c r="I87" s="58">
        <v>262.5</v>
      </c>
      <c r="J87" s="59" t="s">
        <v>62</v>
      </c>
      <c r="K87" s="135">
        <v>11.13</v>
      </c>
      <c r="L87" s="137"/>
      <c r="M87" s="82">
        <v>0.21</v>
      </c>
      <c r="N87" s="82">
        <v>0.12</v>
      </c>
      <c r="O87" s="82">
        <v>27.5</v>
      </c>
      <c r="P87" s="82">
        <v>3.98</v>
      </c>
      <c r="Q87" s="82">
        <v>0</v>
      </c>
      <c r="R87" s="82">
        <v>149</v>
      </c>
      <c r="S87" s="82">
        <v>219</v>
      </c>
      <c r="T87" s="82">
        <v>14</v>
      </c>
      <c r="U87" s="82">
        <v>120</v>
      </c>
      <c r="V87" s="82">
        <v>180</v>
      </c>
      <c r="W87" s="82">
        <v>4</v>
      </c>
      <c r="X87" s="82">
        <v>22.3</v>
      </c>
      <c r="Y87" s="82">
        <v>3.5</v>
      </c>
    </row>
    <row r="88" spans="1:25" s="113" customFormat="1" ht="22.05" customHeight="1" x14ac:dyDescent="0.3">
      <c r="A88" s="20"/>
      <c r="B88" s="230"/>
      <c r="C88" s="224" t="s">
        <v>189</v>
      </c>
      <c r="D88" s="224"/>
      <c r="E88" s="48">
        <v>110</v>
      </c>
      <c r="F88" s="49">
        <v>10.8</v>
      </c>
      <c r="G88" s="49">
        <v>4.08</v>
      </c>
      <c r="H88" s="49">
        <v>2.95</v>
      </c>
      <c r="I88" s="49">
        <v>108.7</v>
      </c>
      <c r="J88" s="50">
        <v>311</v>
      </c>
      <c r="K88" s="133">
        <v>38.03</v>
      </c>
      <c r="L88" s="133"/>
      <c r="M88" s="112">
        <v>0.09</v>
      </c>
      <c r="N88" s="112">
        <v>0.11</v>
      </c>
      <c r="O88" s="112">
        <v>68.72</v>
      </c>
      <c r="P88" s="112">
        <v>4.26</v>
      </c>
      <c r="Q88" s="112">
        <v>2.63</v>
      </c>
      <c r="R88" s="112">
        <v>252.32</v>
      </c>
      <c r="S88" s="112">
        <v>3.95</v>
      </c>
      <c r="T88" s="112">
        <v>13.5</v>
      </c>
      <c r="U88" s="112">
        <v>15.7</v>
      </c>
      <c r="V88" s="112">
        <v>116.1</v>
      </c>
      <c r="W88" s="112">
        <v>1.02</v>
      </c>
      <c r="X88" s="112">
        <v>35.83</v>
      </c>
      <c r="Y88" s="112">
        <v>0</v>
      </c>
    </row>
    <row r="89" spans="1:25" s="45" customFormat="1" ht="22.05" customHeight="1" x14ac:dyDescent="0.3">
      <c r="A89" s="20"/>
      <c r="B89" s="230"/>
      <c r="C89" s="224" t="s">
        <v>107</v>
      </c>
      <c r="D89" s="224"/>
      <c r="E89" s="48">
        <v>30</v>
      </c>
      <c r="F89" s="49">
        <f>F16/100*30</f>
        <v>1.044</v>
      </c>
      <c r="G89" s="49">
        <f t="shared" ref="G89:I89" si="25">G16/100*30</f>
        <v>0.192</v>
      </c>
      <c r="H89" s="49">
        <f t="shared" si="25"/>
        <v>6.42</v>
      </c>
      <c r="I89" s="49">
        <f t="shared" si="25"/>
        <v>40.266000000000005</v>
      </c>
      <c r="J89" s="48" t="s">
        <v>60</v>
      </c>
      <c r="K89" s="133">
        <v>2.73</v>
      </c>
      <c r="L89" s="133"/>
      <c r="M89" s="82">
        <f t="shared" ref="M89:Y89" si="26">M10/30*30</f>
        <v>0.12300000000000001</v>
      </c>
      <c r="N89" s="82">
        <f t="shared" si="26"/>
        <v>7.5999999999999998E-2</v>
      </c>
      <c r="O89" s="82">
        <f t="shared" si="26"/>
        <v>0</v>
      </c>
      <c r="P89" s="82">
        <f t="shared" si="26"/>
        <v>1.68</v>
      </c>
      <c r="Q89" s="82">
        <f t="shared" si="26"/>
        <v>0.06</v>
      </c>
      <c r="R89" s="82">
        <f t="shared" si="26"/>
        <v>141.9</v>
      </c>
      <c r="S89" s="82">
        <f t="shared" si="26"/>
        <v>37.5</v>
      </c>
      <c r="T89" s="82">
        <f t="shared" si="26"/>
        <v>1.47</v>
      </c>
      <c r="U89" s="82">
        <f t="shared" si="26"/>
        <v>12.3</v>
      </c>
      <c r="V89" s="82">
        <f t="shared" si="26"/>
        <v>38.700000000000003</v>
      </c>
      <c r="W89" s="82">
        <f t="shared" si="26"/>
        <v>1.08</v>
      </c>
      <c r="X89" s="82">
        <f t="shared" si="26"/>
        <v>0</v>
      </c>
      <c r="Y89" s="82">
        <f t="shared" si="26"/>
        <v>8.64</v>
      </c>
    </row>
    <row r="90" spans="1:25" s="45" customFormat="1" ht="22.05" customHeight="1" x14ac:dyDescent="0.3">
      <c r="A90" s="20"/>
      <c r="B90" s="230"/>
      <c r="C90" s="224" t="s">
        <v>115</v>
      </c>
      <c r="D90" s="224"/>
      <c r="E90" s="48">
        <v>29</v>
      </c>
      <c r="F90" s="49">
        <f>F17/100*29</f>
        <v>0.55099999999999993</v>
      </c>
      <c r="G90" s="49">
        <f t="shared" ref="G90:I90" si="27">G17/100*29</f>
        <v>0.1305</v>
      </c>
      <c r="H90" s="49">
        <f t="shared" si="27"/>
        <v>7.25</v>
      </c>
      <c r="I90" s="49">
        <f t="shared" si="27"/>
        <v>35.881700000000002</v>
      </c>
      <c r="J90" s="48" t="s">
        <v>60</v>
      </c>
      <c r="K90" s="133">
        <v>2.64</v>
      </c>
      <c r="L90" s="133"/>
      <c r="M90" s="82">
        <f t="shared" ref="M90:Y90" si="28">M11/30*29</f>
        <v>0.12566666666666665</v>
      </c>
      <c r="N90" s="82">
        <f t="shared" si="28"/>
        <v>9.6666666666666679E-2</v>
      </c>
      <c r="O90" s="82">
        <f t="shared" si="28"/>
        <v>0</v>
      </c>
      <c r="P90" s="82">
        <f t="shared" si="28"/>
        <v>1.1019999999999999</v>
      </c>
      <c r="Q90" s="82">
        <f t="shared" si="28"/>
        <v>0.11600000000000001</v>
      </c>
      <c r="R90" s="82">
        <f t="shared" si="28"/>
        <v>174.87</v>
      </c>
      <c r="S90" s="82">
        <f t="shared" si="28"/>
        <v>21.169999999999998</v>
      </c>
      <c r="T90" s="82">
        <f t="shared" si="28"/>
        <v>0.34800000000000003</v>
      </c>
      <c r="U90" s="82">
        <f t="shared" si="28"/>
        <v>11.600000000000001</v>
      </c>
      <c r="V90" s="82">
        <f t="shared" si="28"/>
        <v>36.25</v>
      </c>
      <c r="W90" s="82">
        <f t="shared" si="28"/>
        <v>0.82166666666666666</v>
      </c>
      <c r="X90" s="82">
        <f t="shared" si="28"/>
        <v>0</v>
      </c>
      <c r="Y90" s="82">
        <f t="shared" si="28"/>
        <v>8.9610000000000003</v>
      </c>
    </row>
    <row r="91" spans="1:25" s="45" customFormat="1" ht="22.05" customHeight="1" x14ac:dyDescent="0.3">
      <c r="A91" s="20"/>
      <c r="B91" s="230"/>
      <c r="C91" s="224" t="s">
        <v>204</v>
      </c>
      <c r="D91" s="224"/>
      <c r="E91" s="48">
        <v>200</v>
      </c>
      <c r="F91" s="49">
        <v>0.2</v>
      </c>
      <c r="G91" s="49">
        <v>0</v>
      </c>
      <c r="H91" s="49">
        <v>6.4</v>
      </c>
      <c r="I91" s="49">
        <v>26.4</v>
      </c>
      <c r="J91" s="50" t="s">
        <v>22</v>
      </c>
      <c r="K91" s="133">
        <v>1.25</v>
      </c>
      <c r="L91" s="133"/>
      <c r="M91" s="82">
        <v>0</v>
      </c>
      <c r="N91" s="82">
        <v>0</v>
      </c>
      <c r="O91" s="82">
        <v>0</v>
      </c>
      <c r="P91" s="82">
        <v>0.1</v>
      </c>
      <c r="Q91" s="82">
        <v>0</v>
      </c>
      <c r="R91" s="82">
        <v>1</v>
      </c>
      <c r="S91" s="82">
        <v>25</v>
      </c>
      <c r="T91" s="82">
        <v>4</v>
      </c>
      <c r="U91" s="82">
        <v>4</v>
      </c>
      <c r="V91" s="82">
        <v>7</v>
      </c>
      <c r="W91" s="82">
        <v>1</v>
      </c>
      <c r="X91" s="82">
        <v>0</v>
      </c>
      <c r="Y91" s="82">
        <v>0</v>
      </c>
    </row>
    <row r="92" spans="1:25" s="47" customFormat="1" ht="22.05" customHeight="1" x14ac:dyDescent="0.3">
      <c r="A92" s="46"/>
      <c r="B92" s="230"/>
      <c r="C92" s="233" t="s">
        <v>41</v>
      </c>
      <c r="D92" s="234"/>
      <c r="E92" s="51">
        <v>200</v>
      </c>
      <c r="F92" s="52">
        <v>1.1000000000000001</v>
      </c>
      <c r="G92" s="52">
        <v>0.22</v>
      </c>
      <c r="H92" s="52">
        <v>25</v>
      </c>
      <c r="I92" s="52">
        <v>110</v>
      </c>
      <c r="J92" s="53" t="s">
        <v>60</v>
      </c>
      <c r="K92" s="134">
        <v>36</v>
      </c>
      <c r="L92" s="134"/>
      <c r="M92" s="122">
        <v>0.02</v>
      </c>
      <c r="N92" s="122">
        <v>0.02</v>
      </c>
      <c r="O92" s="122">
        <v>0</v>
      </c>
      <c r="P92" s="122">
        <v>0.04</v>
      </c>
      <c r="Q92" s="122">
        <v>4</v>
      </c>
      <c r="R92" s="122">
        <v>12</v>
      </c>
      <c r="S92" s="122">
        <v>240</v>
      </c>
      <c r="T92" s="122">
        <v>14</v>
      </c>
      <c r="U92" s="122">
        <v>8</v>
      </c>
      <c r="V92" s="122">
        <v>14</v>
      </c>
      <c r="W92" s="122">
        <v>2.8</v>
      </c>
      <c r="X92" s="122">
        <v>2</v>
      </c>
      <c r="Y92" s="122">
        <v>0</v>
      </c>
    </row>
    <row r="93" spans="1:25" s="45" customFormat="1" ht="22.05" customHeight="1" x14ac:dyDescent="0.3">
      <c r="A93" s="20"/>
      <c r="B93" s="42"/>
      <c r="C93" s="228" t="s">
        <v>105</v>
      </c>
      <c r="D93" s="228"/>
      <c r="E93" s="44">
        <f t="shared" ref="E93:K93" si="29">SUM(E86:E92)</f>
        <v>779</v>
      </c>
      <c r="F93" s="55">
        <f t="shared" si="29"/>
        <v>24.094999999999999</v>
      </c>
      <c r="G93" s="55">
        <f t="shared" si="29"/>
        <v>16.622499999999999</v>
      </c>
      <c r="H93" s="55">
        <f t="shared" si="29"/>
        <v>93.42</v>
      </c>
      <c r="I93" s="55">
        <f t="shared" si="29"/>
        <v>652.14769999999999</v>
      </c>
      <c r="J93" s="44">
        <f t="shared" si="29"/>
        <v>318</v>
      </c>
      <c r="K93" s="44">
        <f t="shared" si="29"/>
        <v>102</v>
      </c>
      <c r="L93" s="133"/>
      <c r="M93" s="102">
        <f t="shared" ref="M93:Y93" si="30">SUM(M86:M92)</f>
        <v>0.60866666666666669</v>
      </c>
      <c r="N93" s="102">
        <f t="shared" si="30"/>
        <v>0.48266666666666669</v>
      </c>
      <c r="O93" s="102">
        <f t="shared" si="30"/>
        <v>111.22</v>
      </c>
      <c r="P93" s="102">
        <f t="shared" si="30"/>
        <v>11.161999999999999</v>
      </c>
      <c r="Q93" s="102">
        <f t="shared" si="30"/>
        <v>12.706000000000001</v>
      </c>
      <c r="R93" s="102">
        <f t="shared" si="30"/>
        <v>731.09</v>
      </c>
      <c r="S93" s="102">
        <f t="shared" si="30"/>
        <v>546.62</v>
      </c>
      <c r="T93" s="102">
        <f t="shared" si="30"/>
        <v>69.677999999999997</v>
      </c>
      <c r="U93" s="102">
        <f t="shared" si="30"/>
        <v>180.76</v>
      </c>
      <c r="V93" s="102">
        <f t="shared" si="30"/>
        <v>431.64</v>
      </c>
      <c r="W93" s="102">
        <f t="shared" si="30"/>
        <v>11.211666666666666</v>
      </c>
      <c r="X93" s="102">
        <f t="shared" si="30"/>
        <v>60.129999999999995</v>
      </c>
      <c r="Y93" s="102">
        <f t="shared" si="30"/>
        <v>21.100999999999999</v>
      </c>
    </row>
    <row r="94" spans="1:25" s="113" customFormat="1" ht="22.05" customHeight="1" x14ac:dyDescent="0.3">
      <c r="A94" s="20"/>
      <c r="B94" s="38"/>
      <c r="C94" s="39"/>
      <c r="D94" s="39"/>
      <c r="E94" s="179"/>
      <c r="F94" s="91"/>
      <c r="G94" s="91"/>
      <c r="H94" s="91"/>
      <c r="I94" s="91"/>
      <c r="J94" s="179"/>
      <c r="K94" s="91"/>
      <c r="L94" s="91"/>
      <c r="M94" s="180"/>
      <c r="N94" s="180"/>
      <c r="O94" s="180"/>
      <c r="P94" s="180"/>
      <c r="Q94" s="180"/>
      <c r="R94" s="180"/>
      <c r="S94" s="180"/>
      <c r="T94" s="180"/>
      <c r="U94" s="180"/>
      <c r="V94" s="180"/>
      <c r="W94" s="180"/>
      <c r="X94" s="180"/>
      <c r="Y94" s="180"/>
    </row>
    <row r="95" spans="1:25" s="47" customFormat="1" ht="22.05" customHeight="1" x14ac:dyDescent="0.3">
      <c r="A95" s="14"/>
      <c r="B95" s="35"/>
      <c r="C95" s="178"/>
      <c r="D95" s="178"/>
      <c r="E95" s="14"/>
      <c r="F95" s="36"/>
      <c r="G95" s="36"/>
      <c r="H95" s="36"/>
      <c r="I95" s="36"/>
      <c r="J95" s="14"/>
      <c r="K95" s="61"/>
      <c r="L95" s="61"/>
    </row>
    <row r="96" spans="1:25" s="45" customFormat="1" ht="22.05" customHeight="1" x14ac:dyDescent="0.3">
      <c r="A96" s="20"/>
      <c r="B96" s="225" t="s">
        <v>57</v>
      </c>
      <c r="C96" s="225"/>
      <c r="D96" s="225"/>
      <c r="E96" s="225"/>
      <c r="F96" s="225"/>
      <c r="G96" s="225"/>
      <c r="H96" s="225"/>
      <c r="I96" s="225"/>
      <c r="J96" s="225"/>
      <c r="K96" s="225"/>
      <c r="L96" s="117"/>
      <c r="M96" s="260"/>
      <c r="N96" s="260"/>
      <c r="O96" s="260"/>
      <c r="P96" s="260"/>
      <c r="Q96" s="260"/>
      <c r="R96" s="260"/>
      <c r="S96" s="260"/>
      <c r="T96" s="260"/>
      <c r="U96" s="260"/>
      <c r="V96" s="260"/>
      <c r="W96" s="260"/>
      <c r="X96" s="260"/>
      <c r="Y96" s="260"/>
    </row>
    <row r="97" spans="1:25" s="45" customFormat="1" ht="22.05" customHeight="1" x14ac:dyDescent="0.3">
      <c r="A97" s="20"/>
      <c r="B97" s="231" t="s">
        <v>70</v>
      </c>
      <c r="C97" s="225" t="s">
        <v>1</v>
      </c>
      <c r="D97" s="225"/>
      <c r="E97" s="231" t="s">
        <v>71</v>
      </c>
      <c r="F97" s="225" t="s">
        <v>3</v>
      </c>
      <c r="G97" s="225"/>
      <c r="H97" s="225"/>
      <c r="I97" s="231" t="s">
        <v>142</v>
      </c>
      <c r="J97" s="225" t="s">
        <v>72</v>
      </c>
      <c r="K97" s="225" t="s">
        <v>180</v>
      </c>
      <c r="L97" s="120"/>
      <c r="M97" s="260" t="s">
        <v>156</v>
      </c>
      <c r="N97" s="260"/>
      <c r="O97" s="260"/>
      <c r="P97" s="260"/>
      <c r="Q97" s="260"/>
      <c r="R97" s="260"/>
      <c r="S97" s="260"/>
      <c r="T97" s="260"/>
      <c r="U97" s="260"/>
      <c r="V97" s="260"/>
      <c r="W97" s="260"/>
      <c r="X97" s="260"/>
      <c r="Y97" s="260"/>
    </row>
    <row r="98" spans="1:25" s="45" customFormat="1" ht="43.8" customHeight="1" x14ac:dyDescent="0.3">
      <c r="A98" s="20"/>
      <c r="B98" s="231"/>
      <c r="C98" s="225"/>
      <c r="D98" s="225"/>
      <c r="E98" s="231"/>
      <c r="F98" s="213" t="s">
        <v>139</v>
      </c>
      <c r="G98" s="213" t="s">
        <v>140</v>
      </c>
      <c r="H98" s="213" t="s">
        <v>141</v>
      </c>
      <c r="I98" s="231"/>
      <c r="J98" s="225"/>
      <c r="K98" s="225"/>
      <c r="L98" s="121"/>
      <c r="M98" s="262" t="s">
        <v>76</v>
      </c>
      <c r="N98" s="262"/>
      <c r="O98" s="262"/>
      <c r="P98" s="262"/>
      <c r="Q98" s="262"/>
      <c r="R98" s="262"/>
      <c r="S98" s="262"/>
      <c r="T98" s="262"/>
      <c r="U98" s="262"/>
      <c r="V98" s="262"/>
      <c r="W98" s="262"/>
      <c r="X98" s="262"/>
      <c r="Y98" s="262"/>
    </row>
    <row r="99" spans="1:25" s="45" customFormat="1" ht="22.05" customHeight="1" x14ac:dyDescent="0.3">
      <c r="A99" s="20"/>
      <c r="B99" s="229" t="s">
        <v>76</v>
      </c>
      <c r="C99" s="229"/>
      <c r="D99" s="229"/>
      <c r="E99" s="229"/>
      <c r="F99" s="229"/>
      <c r="G99" s="229"/>
      <c r="H99" s="229"/>
      <c r="I99" s="229"/>
      <c r="J99" s="229"/>
      <c r="K99" s="229"/>
      <c r="L99" s="141"/>
      <c r="M99" s="81" t="s">
        <v>143</v>
      </c>
      <c r="N99" s="81" t="s">
        <v>144</v>
      </c>
      <c r="O99" s="81" t="s">
        <v>145</v>
      </c>
      <c r="P99" s="81" t="s">
        <v>147</v>
      </c>
      <c r="Q99" s="81" t="s">
        <v>146</v>
      </c>
      <c r="R99" s="81" t="s">
        <v>148</v>
      </c>
      <c r="S99" s="81" t="s">
        <v>149</v>
      </c>
      <c r="T99" s="81" t="s">
        <v>150</v>
      </c>
      <c r="U99" s="81" t="s">
        <v>151</v>
      </c>
      <c r="V99" s="81" t="s">
        <v>152</v>
      </c>
      <c r="W99" s="81" t="s">
        <v>153</v>
      </c>
      <c r="X99" s="81" t="s">
        <v>154</v>
      </c>
      <c r="Y99" s="81" t="s">
        <v>155</v>
      </c>
    </row>
    <row r="100" spans="1:25" s="45" customFormat="1" ht="22.05" customHeight="1" x14ac:dyDescent="0.3">
      <c r="B100" s="242" t="s">
        <v>4</v>
      </c>
      <c r="C100" s="227" t="s">
        <v>200</v>
      </c>
      <c r="D100" s="227"/>
      <c r="E100" s="57">
        <v>60</v>
      </c>
      <c r="F100" s="58">
        <v>1.4</v>
      </c>
      <c r="G100" s="58">
        <v>4.3</v>
      </c>
      <c r="H100" s="58">
        <v>7</v>
      </c>
      <c r="I100" s="58">
        <v>71.7</v>
      </c>
      <c r="J100" s="59" t="s">
        <v>201</v>
      </c>
      <c r="K100" s="135">
        <v>10.93</v>
      </c>
      <c r="L100" s="137"/>
      <c r="M100" s="82">
        <v>0.02</v>
      </c>
      <c r="N100" s="82">
        <v>0.01</v>
      </c>
      <c r="O100" s="82">
        <v>0</v>
      </c>
      <c r="P100" s="82">
        <v>0.2</v>
      </c>
      <c r="Q100" s="82">
        <v>4</v>
      </c>
      <c r="R100" s="82">
        <v>141</v>
      </c>
      <c r="S100" s="82">
        <v>149</v>
      </c>
      <c r="T100" s="82">
        <v>22</v>
      </c>
      <c r="U100" s="82">
        <v>18</v>
      </c>
      <c r="V100" s="82">
        <v>32</v>
      </c>
      <c r="W100" s="82">
        <v>1</v>
      </c>
      <c r="X100" s="82">
        <v>11.4</v>
      </c>
      <c r="Y100" s="82">
        <v>0.4</v>
      </c>
    </row>
    <row r="101" spans="1:25" s="113" customFormat="1" ht="22.05" customHeight="1" x14ac:dyDescent="0.3">
      <c r="A101" s="20"/>
      <c r="B101" s="242"/>
      <c r="C101" s="232" t="s">
        <v>33</v>
      </c>
      <c r="D101" s="232"/>
      <c r="E101" s="48">
        <v>150</v>
      </c>
      <c r="F101" s="49">
        <v>3</v>
      </c>
      <c r="G101" s="49">
        <v>5.7</v>
      </c>
      <c r="H101" s="49">
        <v>23.7</v>
      </c>
      <c r="I101" s="49">
        <v>158.30000000000001</v>
      </c>
      <c r="J101" s="50" t="s">
        <v>32</v>
      </c>
      <c r="K101" s="133">
        <v>22.29</v>
      </c>
      <c r="L101" s="133"/>
      <c r="M101" s="112">
        <v>0.12</v>
      </c>
      <c r="N101" s="112">
        <v>7.0000000000000007E-2</v>
      </c>
      <c r="O101" s="112">
        <v>23</v>
      </c>
      <c r="P101" s="112">
        <v>0.9</v>
      </c>
      <c r="Q101" s="112">
        <v>10</v>
      </c>
      <c r="R101" s="112">
        <v>239</v>
      </c>
      <c r="S101" s="112">
        <v>753</v>
      </c>
      <c r="T101" s="112">
        <v>40</v>
      </c>
      <c r="U101" s="112">
        <v>28</v>
      </c>
      <c r="V101" s="112">
        <v>84</v>
      </c>
      <c r="W101" s="112">
        <v>1</v>
      </c>
      <c r="X101" s="112">
        <v>28.5</v>
      </c>
      <c r="Y101" s="112">
        <v>0.8</v>
      </c>
    </row>
    <row r="102" spans="1:25" s="113" customFormat="1" ht="22.05" customHeight="1" x14ac:dyDescent="0.3">
      <c r="A102" s="20"/>
      <c r="B102" s="242"/>
      <c r="C102" s="232" t="s">
        <v>202</v>
      </c>
      <c r="D102" s="232"/>
      <c r="E102" s="48">
        <v>90</v>
      </c>
      <c r="F102" s="49">
        <v>11.8</v>
      </c>
      <c r="G102" s="49">
        <v>6.8</v>
      </c>
      <c r="H102" s="49">
        <v>2.8</v>
      </c>
      <c r="I102" s="49">
        <v>119.6</v>
      </c>
      <c r="J102" s="50" t="s">
        <v>203</v>
      </c>
      <c r="K102" s="133">
        <v>45.88</v>
      </c>
      <c r="L102" s="133"/>
      <c r="M102" s="112">
        <v>7.0000000000000007E-2</v>
      </c>
      <c r="N102" s="112">
        <v>0.12</v>
      </c>
      <c r="O102" s="112">
        <v>7.8</v>
      </c>
      <c r="P102" s="112">
        <v>0.7</v>
      </c>
      <c r="Q102" s="112">
        <v>1.1000000000000001</v>
      </c>
      <c r="R102" s="112">
        <v>102.4</v>
      </c>
      <c r="S102" s="112">
        <v>381.4</v>
      </c>
      <c r="T102" s="112">
        <v>36</v>
      </c>
      <c r="U102" s="112">
        <v>41.6</v>
      </c>
      <c r="V102" s="112">
        <v>31.5</v>
      </c>
      <c r="W102" s="112">
        <v>0</v>
      </c>
      <c r="X102" s="112">
        <v>120.2</v>
      </c>
      <c r="Y102" s="112">
        <v>10.8</v>
      </c>
    </row>
    <row r="103" spans="1:25" s="45" customFormat="1" ht="22.05" customHeight="1" x14ac:dyDescent="0.3">
      <c r="A103" s="20"/>
      <c r="B103" s="242"/>
      <c r="C103" s="224" t="s">
        <v>107</v>
      </c>
      <c r="D103" s="224"/>
      <c r="E103" s="48">
        <v>40</v>
      </c>
      <c r="F103" s="49">
        <f>F16/100*40</f>
        <v>1.3919999999999999</v>
      </c>
      <c r="G103" s="49">
        <f t="shared" ref="G103:I103" si="31">G16/100*40</f>
        <v>0.25600000000000001</v>
      </c>
      <c r="H103" s="49">
        <f t="shared" si="31"/>
        <v>8.56</v>
      </c>
      <c r="I103" s="49">
        <f t="shared" si="31"/>
        <v>53.688000000000002</v>
      </c>
      <c r="J103" s="48" t="s">
        <v>60</v>
      </c>
      <c r="K103" s="133">
        <v>3.64</v>
      </c>
      <c r="L103" s="133"/>
      <c r="M103" s="82">
        <f t="shared" ref="M103:Y103" si="32">M10/30*40</f>
        <v>0.16400000000000001</v>
      </c>
      <c r="N103" s="82">
        <f t="shared" si="32"/>
        <v>0.10133333333333333</v>
      </c>
      <c r="O103" s="82">
        <f t="shared" si="32"/>
        <v>0</v>
      </c>
      <c r="P103" s="82">
        <f t="shared" si="32"/>
        <v>2.2400000000000002</v>
      </c>
      <c r="Q103" s="82">
        <f t="shared" si="32"/>
        <v>0.08</v>
      </c>
      <c r="R103" s="82">
        <f t="shared" si="32"/>
        <v>189.20000000000002</v>
      </c>
      <c r="S103" s="82">
        <f t="shared" si="32"/>
        <v>50</v>
      </c>
      <c r="T103" s="82">
        <f t="shared" si="32"/>
        <v>1.96</v>
      </c>
      <c r="U103" s="82">
        <f t="shared" si="32"/>
        <v>16.400000000000002</v>
      </c>
      <c r="V103" s="82">
        <f t="shared" si="32"/>
        <v>51.6</v>
      </c>
      <c r="W103" s="82">
        <f t="shared" si="32"/>
        <v>1.4400000000000002</v>
      </c>
      <c r="X103" s="82">
        <f t="shared" si="32"/>
        <v>0</v>
      </c>
      <c r="Y103" s="82">
        <f t="shared" si="32"/>
        <v>11.520000000000001</v>
      </c>
    </row>
    <row r="104" spans="1:25" s="45" customFormat="1" ht="22.05" customHeight="1" x14ac:dyDescent="0.3">
      <c r="A104" s="20"/>
      <c r="B104" s="242"/>
      <c r="C104" s="224" t="s">
        <v>115</v>
      </c>
      <c r="D104" s="224"/>
      <c r="E104" s="48">
        <v>28</v>
      </c>
      <c r="F104" s="49">
        <f>F17/100*28</f>
        <v>0.53200000000000003</v>
      </c>
      <c r="G104" s="49">
        <f t="shared" ref="G104:I104" si="33">G17/100*28</f>
        <v>0.126</v>
      </c>
      <c r="H104" s="49">
        <f t="shared" si="33"/>
        <v>7</v>
      </c>
      <c r="I104" s="49">
        <f t="shared" si="33"/>
        <v>34.644400000000005</v>
      </c>
      <c r="J104" s="48" t="s">
        <v>60</v>
      </c>
      <c r="K104" s="133">
        <v>2.5499999999999998</v>
      </c>
      <c r="L104" s="133"/>
      <c r="M104" s="82">
        <f t="shared" ref="M104:Y104" si="34">M11/30*28</f>
        <v>0.12133333333333332</v>
      </c>
      <c r="N104" s="82">
        <f t="shared" si="34"/>
        <v>9.3333333333333338E-2</v>
      </c>
      <c r="O104" s="82">
        <f t="shared" si="34"/>
        <v>0</v>
      </c>
      <c r="P104" s="82">
        <f t="shared" si="34"/>
        <v>1.0640000000000001</v>
      </c>
      <c r="Q104" s="82">
        <f t="shared" si="34"/>
        <v>0.112</v>
      </c>
      <c r="R104" s="82">
        <f t="shared" si="34"/>
        <v>168.84</v>
      </c>
      <c r="S104" s="82">
        <f t="shared" si="34"/>
        <v>20.439999999999998</v>
      </c>
      <c r="T104" s="82">
        <f t="shared" si="34"/>
        <v>0.33600000000000002</v>
      </c>
      <c r="U104" s="82">
        <f t="shared" si="34"/>
        <v>11.200000000000001</v>
      </c>
      <c r="V104" s="82">
        <f t="shared" si="34"/>
        <v>35</v>
      </c>
      <c r="W104" s="82">
        <f t="shared" si="34"/>
        <v>0.79333333333333333</v>
      </c>
      <c r="X104" s="82">
        <f t="shared" si="34"/>
        <v>0</v>
      </c>
      <c r="Y104" s="82">
        <f t="shared" si="34"/>
        <v>8.6519999999999992</v>
      </c>
    </row>
    <row r="105" spans="1:25" s="113" customFormat="1" ht="22.05" customHeight="1" x14ac:dyDescent="0.3">
      <c r="A105" s="20"/>
      <c r="B105" s="242"/>
      <c r="C105" s="224" t="s">
        <v>12</v>
      </c>
      <c r="D105" s="224"/>
      <c r="E105" s="48">
        <v>200</v>
      </c>
      <c r="F105" s="49">
        <v>2.6</v>
      </c>
      <c r="G105" s="49">
        <v>2.6</v>
      </c>
      <c r="H105" s="49">
        <v>16.8</v>
      </c>
      <c r="I105" s="49">
        <v>100.4</v>
      </c>
      <c r="J105" s="50" t="s">
        <v>11</v>
      </c>
      <c r="K105" s="133">
        <v>16.71</v>
      </c>
      <c r="L105" s="133"/>
      <c r="M105" s="112">
        <v>0</v>
      </c>
      <c r="N105" s="112">
        <v>0.13</v>
      </c>
      <c r="O105" s="112">
        <v>9.6</v>
      </c>
      <c r="P105" s="112">
        <v>0.12</v>
      </c>
      <c r="Q105" s="112">
        <v>0</v>
      </c>
      <c r="R105" s="112">
        <v>50</v>
      </c>
      <c r="S105" s="112">
        <v>199</v>
      </c>
      <c r="T105" s="112">
        <v>108</v>
      </c>
      <c r="U105" s="112">
        <v>26</v>
      </c>
      <c r="V105" s="112">
        <v>95</v>
      </c>
      <c r="W105" s="112">
        <v>1</v>
      </c>
      <c r="X105" s="112">
        <v>2.7</v>
      </c>
      <c r="Y105" s="112">
        <v>1</v>
      </c>
    </row>
    <row r="106" spans="1:25" s="45" customFormat="1" ht="22.05" customHeight="1" x14ac:dyDescent="0.3">
      <c r="A106" s="20"/>
      <c r="B106" s="79"/>
      <c r="C106" s="228" t="s">
        <v>105</v>
      </c>
      <c r="D106" s="228"/>
      <c r="E106" s="44">
        <f>SUM(E100:E105)</f>
        <v>568</v>
      </c>
      <c r="F106" s="55">
        <f>SUM(F100:F105)</f>
        <v>20.724000000000004</v>
      </c>
      <c r="G106" s="55">
        <f>SUM(G100:G105)</f>
        <v>19.782000000000004</v>
      </c>
      <c r="H106" s="55">
        <f>SUM(H100:H105)</f>
        <v>65.86</v>
      </c>
      <c r="I106" s="55">
        <f>SUM(I100:I105)</f>
        <v>538.33240000000001</v>
      </c>
      <c r="J106" s="44"/>
      <c r="K106" s="55">
        <f>SUM(K100:K105)</f>
        <v>102</v>
      </c>
      <c r="L106" s="133"/>
      <c r="M106" s="102">
        <f t="shared" ref="M106:Y106" si="35">SUM(M100:M105)</f>
        <v>0.49533333333333329</v>
      </c>
      <c r="N106" s="102">
        <f t="shared" si="35"/>
        <v>0.52466666666666661</v>
      </c>
      <c r="O106" s="102">
        <f t="shared" si="35"/>
        <v>40.4</v>
      </c>
      <c r="P106" s="102">
        <f t="shared" si="35"/>
        <v>5.2240000000000002</v>
      </c>
      <c r="Q106" s="102">
        <f t="shared" si="35"/>
        <v>15.292</v>
      </c>
      <c r="R106" s="102">
        <f t="shared" si="35"/>
        <v>890.44</v>
      </c>
      <c r="S106" s="102">
        <f t="shared" si="35"/>
        <v>1552.8400000000001</v>
      </c>
      <c r="T106" s="102">
        <f t="shared" si="35"/>
        <v>208.29599999999999</v>
      </c>
      <c r="U106" s="102">
        <f t="shared" si="35"/>
        <v>141.19999999999999</v>
      </c>
      <c r="V106" s="102">
        <f t="shared" si="35"/>
        <v>329.1</v>
      </c>
      <c r="W106" s="102">
        <f t="shared" si="35"/>
        <v>5.2333333333333334</v>
      </c>
      <c r="X106" s="102">
        <f t="shared" si="35"/>
        <v>162.79999999999998</v>
      </c>
      <c r="Y106" s="102">
        <f t="shared" si="35"/>
        <v>33.172000000000004</v>
      </c>
    </row>
    <row r="107" spans="1:25" s="183" customFormat="1" ht="22.05" customHeight="1" x14ac:dyDescent="0.3">
      <c r="A107" s="20"/>
      <c r="B107" s="38"/>
      <c r="C107" s="39"/>
      <c r="D107" s="39"/>
      <c r="E107" s="179"/>
      <c r="F107" s="91"/>
      <c r="G107" s="91"/>
      <c r="H107" s="91"/>
      <c r="I107" s="91"/>
      <c r="J107" s="179"/>
      <c r="K107" s="91"/>
      <c r="L107" s="91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80"/>
      <c r="X107" s="180"/>
      <c r="Y107" s="180"/>
    </row>
    <row r="108" spans="1:25" s="183" customFormat="1" ht="22.05" customHeight="1" x14ac:dyDescent="0.3">
      <c r="A108" s="20"/>
      <c r="B108" s="38"/>
      <c r="C108" s="39"/>
      <c r="D108" s="39"/>
      <c r="E108" s="179"/>
      <c r="F108" s="91"/>
      <c r="G108" s="91"/>
      <c r="H108" s="91"/>
      <c r="I108" s="91"/>
      <c r="J108" s="179"/>
      <c r="K108" s="91"/>
      <c r="L108" s="91"/>
      <c r="M108" s="180"/>
      <c r="N108" s="180"/>
      <c r="O108" s="180"/>
      <c r="P108" s="180"/>
      <c r="Q108" s="180"/>
      <c r="R108" s="180"/>
      <c r="S108" s="180"/>
      <c r="T108" s="180"/>
      <c r="U108" s="180"/>
      <c r="V108" s="180"/>
      <c r="W108" s="180"/>
      <c r="X108" s="180"/>
      <c r="Y108" s="180"/>
    </row>
    <row r="109" spans="1:25" s="45" customFormat="1" ht="22.05" customHeight="1" x14ac:dyDescent="0.3">
      <c r="A109" s="20"/>
      <c r="B109" s="225" t="s">
        <v>57</v>
      </c>
      <c r="C109" s="225"/>
      <c r="D109" s="225"/>
      <c r="E109" s="225"/>
      <c r="F109" s="225"/>
      <c r="G109" s="225"/>
      <c r="H109" s="225"/>
      <c r="I109" s="225"/>
      <c r="J109" s="225"/>
      <c r="K109" s="225"/>
      <c r="L109" s="117"/>
      <c r="M109" s="260"/>
      <c r="N109" s="260"/>
      <c r="O109" s="260"/>
      <c r="P109" s="260"/>
      <c r="Q109" s="260"/>
      <c r="R109" s="260"/>
      <c r="S109" s="260"/>
      <c r="T109" s="260"/>
      <c r="U109" s="260"/>
      <c r="V109" s="260"/>
      <c r="W109" s="260"/>
      <c r="X109" s="260"/>
      <c r="Y109" s="260"/>
    </row>
    <row r="110" spans="1:25" s="45" customFormat="1" ht="22.05" customHeight="1" x14ac:dyDescent="0.3">
      <c r="A110" s="20"/>
      <c r="B110" s="231" t="s">
        <v>70</v>
      </c>
      <c r="C110" s="225" t="s">
        <v>1</v>
      </c>
      <c r="D110" s="225"/>
      <c r="E110" s="231" t="s">
        <v>71</v>
      </c>
      <c r="F110" s="225" t="s">
        <v>3</v>
      </c>
      <c r="G110" s="225"/>
      <c r="H110" s="225"/>
      <c r="I110" s="231" t="s">
        <v>142</v>
      </c>
      <c r="J110" s="225" t="s">
        <v>72</v>
      </c>
      <c r="K110" s="225" t="s">
        <v>180</v>
      </c>
      <c r="L110" s="120"/>
      <c r="M110" s="260" t="s">
        <v>156</v>
      </c>
      <c r="N110" s="260"/>
      <c r="O110" s="260"/>
      <c r="P110" s="260"/>
      <c r="Q110" s="260"/>
      <c r="R110" s="260"/>
      <c r="S110" s="260"/>
      <c r="T110" s="260"/>
      <c r="U110" s="260"/>
      <c r="V110" s="260"/>
      <c r="W110" s="260"/>
      <c r="X110" s="260"/>
      <c r="Y110" s="260"/>
    </row>
    <row r="111" spans="1:25" s="45" customFormat="1" ht="40.200000000000003" customHeight="1" x14ac:dyDescent="0.3">
      <c r="A111" s="20"/>
      <c r="B111" s="231"/>
      <c r="C111" s="225"/>
      <c r="D111" s="225"/>
      <c r="E111" s="231"/>
      <c r="F111" s="213" t="s">
        <v>139</v>
      </c>
      <c r="G111" s="213" t="s">
        <v>140</v>
      </c>
      <c r="H111" s="213" t="s">
        <v>141</v>
      </c>
      <c r="I111" s="231"/>
      <c r="J111" s="225"/>
      <c r="K111" s="225"/>
      <c r="L111" s="121"/>
      <c r="M111" s="262" t="s">
        <v>80</v>
      </c>
      <c r="N111" s="262"/>
      <c r="O111" s="262"/>
      <c r="P111" s="262"/>
      <c r="Q111" s="262"/>
      <c r="R111" s="262"/>
      <c r="S111" s="262"/>
      <c r="T111" s="262"/>
      <c r="U111" s="262"/>
      <c r="V111" s="262"/>
      <c r="W111" s="262"/>
      <c r="X111" s="262"/>
      <c r="Y111" s="262"/>
    </row>
    <row r="112" spans="1:25" s="45" customFormat="1" ht="22.05" customHeight="1" x14ac:dyDescent="0.3">
      <c r="A112" s="20"/>
      <c r="B112" s="229" t="s">
        <v>80</v>
      </c>
      <c r="C112" s="229"/>
      <c r="D112" s="229"/>
      <c r="E112" s="229"/>
      <c r="F112" s="229"/>
      <c r="G112" s="229"/>
      <c r="H112" s="229"/>
      <c r="I112" s="229"/>
      <c r="J112" s="229"/>
      <c r="K112" s="229"/>
      <c r="L112" s="141"/>
      <c r="M112" s="81" t="s">
        <v>143</v>
      </c>
      <c r="N112" s="81" t="s">
        <v>144</v>
      </c>
      <c r="O112" s="81" t="s">
        <v>145</v>
      </c>
      <c r="P112" s="81" t="s">
        <v>147</v>
      </c>
      <c r="Q112" s="81" t="s">
        <v>146</v>
      </c>
      <c r="R112" s="81" t="s">
        <v>148</v>
      </c>
      <c r="S112" s="81" t="s">
        <v>149</v>
      </c>
      <c r="T112" s="81" t="s">
        <v>150</v>
      </c>
      <c r="U112" s="81" t="s">
        <v>151</v>
      </c>
      <c r="V112" s="81" t="s">
        <v>152</v>
      </c>
      <c r="W112" s="81" t="s">
        <v>153</v>
      </c>
      <c r="X112" s="81" t="s">
        <v>154</v>
      </c>
      <c r="Y112" s="81" t="s">
        <v>155</v>
      </c>
    </row>
    <row r="113" spans="1:25" s="113" customFormat="1" ht="22.05" customHeight="1" x14ac:dyDescent="0.3">
      <c r="A113" s="20"/>
      <c r="B113" s="230" t="s">
        <v>4</v>
      </c>
      <c r="C113" s="224" t="s">
        <v>217</v>
      </c>
      <c r="D113" s="224"/>
      <c r="E113" s="48">
        <v>60</v>
      </c>
      <c r="F113" s="49">
        <v>0.5</v>
      </c>
      <c r="G113" s="49">
        <v>2.7</v>
      </c>
      <c r="H113" s="49">
        <v>1.4</v>
      </c>
      <c r="I113" s="49">
        <v>33</v>
      </c>
      <c r="J113" s="50">
        <v>9</v>
      </c>
      <c r="K113" s="133">
        <v>24.31</v>
      </c>
      <c r="L113" s="133"/>
      <c r="M113" s="112">
        <v>0.02</v>
      </c>
      <c r="N113" s="112">
        <v>0.02</v>
      </c>
      <c r="O113" s="112">
        <v>0</v>
      </c>
      <c r="P113" s="112">
        <v>0</v>
      </c>
      <c r="Q113" s="112">
        <v>2.2999999999999998</v>
      </c>
      <c r="R113" s="112">
        <v>0</v>
      </c>
      <c r="S113" s="112">
        <v>0</v>
      </c>
      <c r="T113" s="112">
        <v>12.29</v>
      </c>
      <c r="U113" s="112">
        <v>7.01</v>
      </c>
      <c r="V113" s="112">
        <v>22.35</v>
      </c>
      <c r="W113" s="112">
        <v>0.32</v>
      </c>
      <c r="X113" s="112">
        <v>0</v>
      </c>
      <c r="Y113" s="112">
        <v>0</v>
      </c>
    </row>
    <row r="114" spans="1:25" s="45" customFormat="1" ht="22.05" customHeight="1" x14ac:dyDescent="0.3">
      <c r="A114" s="20"/>
      <c r="B114" s="230"/>
      <c r="C114" s="224" t="s">
        <v>20</v>
      </c>
      <c r="D114" s="224"/>
      <c r="E114" s="48">
        <v>150</v>
      </c>
      <c r="F114" s="49">
        <v>5</v>
      </c>
      <c r="G114" s="49">
        <v>5.3</v>
      </c>
      <c r="H114" s="49">
        <v>35</v>
      </c>
      <c r="I114" s="49">
        <v>208</v>
      </c>
      <c r="J114" s="50" t="s">
        <v>19</v>
      </c>
      <c r="K114" s="133">
        <v>9.36</v>
      </c>
      <c r="L114" s="133"/>
      <c r="M114" s="82">
        <v>0.06</v>
      </c>
      <c r="N114" s="82">
        <v>0.03</v>
      </c>
      <c r="O114" s="82">
        <v>20</v>
      </c>
      <c r="P114" s="82">
        <v>0.5</v>
      </c>
      <c r="Q114" s="82">
        <v>0</v>
      </c>
      <c r="R114" s="82">
        <v>192</v>
      </c>
      <c r="S114" s="82">
        <v>7</v>
      </c>
      <c r="T114" s="82">
        <v>59</v>
      </c>
      <c r="U114" s="82">
        <v>7</v>
      </c>
      <c r="V114" s="82">
        <v>40</v>
      </c>
      <c r="W114" s="82">
        <v>1</v>
      </c>
      <c r="X114" s="82">
        <v>20</v>
      </c>
      <c r="Y114" s="82">
        <v>0.1</v>
      </c>
    </row>
    <row r="115" spans="1:25" s="45" customFormat="1" ht="30" customHeight="1" x14ac:dyDescent="0.3">
      <c r="A115" s="20"/>
      <c r="B115" s="230"/>
      <c r="C115" s="224" t="s">
        <v>205</v>
      </c>
      <c r="D115" s="224"/>
      <c r="E115" s="48">
        <v>120</v>
      </c>
      <c r="F115" s="49">
        <v>13.5</v>
      </c>
      <c r="G115" s="49">
        <v>11.07</v>
      </c>
      <c r="H115" s="49">
        <v>6.3</v>
      </c>
      <c r="I115" s="49">
        <v>176.12</v>
      </c>
      <c r="J115" s="50" t="s">
        <v>206</v>
      </c>
      <c r="K115" s="133">
        <v>60.62</v>
      </c>
      <c r="L115" s="133"/>
      <c r="M115" s="82">
        <v>0.06</v>
      </c>
      <c r="N115" s="82">
        <v>0.14000000000000001</v>
      </c>
      <c r="O115" s="82">
        <v>32.18</v>
      </c>
      <c r="P115" s="82">
        <v>1.71</v>
      </c>
      <c r="Q115" s="82">
        <v>0.5</v>
      </c>
      <c r="R115" s="82">
        <v>242.01</v>
      </c>
      <c r="S115" s="82">
        <v>253.98</v>
      </c>
      <c r="T115" s="82">
        <v>36.119999999999997</v>
      </c>
      <c r="U115" s="82">
        <v>28.15</v>
      </c>
      <c r="V115" s="82">
        <v>147.4</v>
      </c>
      <c r="W115" s="82">
        <v>1.5</v>
      </c>
      <c r="X115" s="82">
        <v>26.73</v>
      </c>
      <c r="Y115" s="82">
        <v>1.44</v>
      </c>
    </row>
    <row r="116" spans="1:25" s="45" customFormat="1" ht="22.05" customHeight="1" x14ac:dyDescent="0.3">
      <c r="A116" s="20"/>
      <c r="B116" s="230"/>
      <c r="C116" s="224" t="s">
        <v>111</v>
      </c>
      <c r="D116" s="224"/>
      <c r="E116" s="48">
        <v>40</v>
      </c>
      <c r="F116" s="49">
        <f>F16/100*40</f>
        <v>1.3919999999999999</v>
      </c>
      <c r="G116" s="49">
        <f t="shared" ref="G116:I116" si="36">G16/100*40</f>
        <v>0.25600000000000001</v>
      </c>
      <c r="H116" s="49">
        <f t="shared" si="36"/>
        <v>8.56</v>
      </c>
      <c r="I116" s="49">
        <f t="shared" si="36"/>
        <v>53.688000000000002</v>
      </c>
      <c r="J116" s="48" t="s">
        <v>60</v>
      </c>
      <c r="K116" s="133">
        <v>3.64</v>
      </c>
      <c r="L116" s="133"/>
      <c r="M116" s="82">
        <f t="shared" ref="M116:Y116" si="37">M10/30*40</f>
        <v>0.16400000000000001</v>
      </c>
      <c r="N116" s="82">
        <f t="shared" si="37"/>
        <v>0.10133333333333333</v>
      </c>
      <c r="O116" s="82">
        <f t="shared" si="37"/>
        <v>0</v>
      </c>
      <c r="P116" s="82">
        <f t="shared" si="37"/>
        <v>2.2400000000000002</v>
      </c>
      <c r="Q116" s="82">
        <f t="shared" si="37"/>
        <v>0.08</v>
      </c>
      <c r="R116" s="82">
        <f t="shared" si="37"/>
        <v>189.20000000000002</v>
      </c>
      <c r="S116" s="82">
        <f t="shared" si="37"/>
        <v>50</v>
      </c>
      <c r="T116" s="82">
        <f t="shared" si="37"/>
        <v>1.96</v>
      </c>
      <c r="U116" s="82">
        <f t="shared" si="37"/>
        <v>16.400000000000002</v>
      </c>
      <c r="V116" s="82">
        <f t="shared" si="37"/>
        <v>51.6</v>
      </c>
      <c r="W116" s="82">
        <f t="shared" si="37"/>
        <v>1.4400000000000002</v>
      </c>
      <c r="X116" s="82">
        <f t="shared" si="37"/>
        <v>0</v>
      </c>
      <c r="Y116" s="82">
        <f t="shared" si="37"/>
        <v>11.520000000000001</v>
      </c>
    </row>
    <row r="117" spans="1:25" s="45" customFormat="1" ht="22.05" customHeight="1" x14ac:dyDescent="0.3">
      <c r="A117" s="20"/>
      <c r="B117" s="230"/>
      <c r="C117" s="224" t="s">
        <v>115</v>
      </c>
      <c r="D117" s="224"/>
      <c r="E117" s="48">
        <v>31</v>
      </c>
      <c r="F117" s="49">
        <f>F17/100*31</f>
        <v>0.58899999999999997</v>
      </c>
      <c r="G117" s="49">
        <f t="shared" ref="G117:I117" si="38">G17/100*31</f>
        <v>0.13950000000000001</v>
      </c>
      <c r="H117" s="49">
        <f t="shared" si="38"/>
        <v>7.75</v>
      </c>
      <c r="I117" s="49">
        <f t="shared" si="38"/>
        <v>38.356300000000005</v>
      </c>
      <c r="J117" s="48" t="s">
        <v>60</v>
      </c>
      <c r="K117" s="133">
        <v>2.82</v>
      </c>
      <c r="L117" s="133"/>
      <c r="M117" s="82">
        <f>M11/30*31</f>
        <v>0.13433333333333333</v>
      </c>
      <c r="N117" s="82">
        <f t="shared" ref="N117:Y117" si="39">N11/30*31</f>
        <v>0.10333333333333335</v>
      </c>
      <c r="O117" s="82">
        <f t="shared" si="39"/>
        <v>0</v>
      </c>
      <c r="P117" s="82">
        <f t="shared" si="39"/>
        <v>1.1779999999999999</v>
      </c>
      <c r="Q117" s="82">
        <f t="shared" si="39"/>
        <v>0.124</v>
      </c>
      <c r="R117" s="82">
        <f t="shared" si="39"/>
        <v>186.93</v>
      </c>
      <c r="S117" s="82">
        <f t="shared" si="39"/>
        <v>22.63</v>
      </c>
      <c r="T117" s="82">
        <f t="shared" si="39"/>
        <v>0.372</v>
      </c>
      <c r="U117" s="82">
        <f t="shared" si="39"/>
        <v>12.4</v>
      </c>
      <c r="V117" s="82">
        <f t="shared" si="39"/>
        <v>38.75</v>
      </c>
      <c r="W117" s="82">
        <f t="shared" si="39"/>
        <v>0.8783333333333333</v>
      </c>
      <c r="X117" s="82">
        <f t="shared" si="39"/>
        <v>0</v>
      </c>
      <c r="Y117" s="82">
        <f t="shared" si="39"/>
        <v>9.5790000000000006</v>
      </c>
    </row>
    <row r="118" spans="1:25" s="19" customFormat="1" ht="22.05" customHeight="1" x14ac:dyDescent="0.3">
      <c r="A118" s="17"/>
      <c r="B118" s="230"/>
      <c r="C118" s="224" t="s">
        <v>23</v>
      </c>
      <c r="D118" s="224"/>
      <c r="E118" s="48">
        <v>200</v>
      </c>
      <c r="F118" s="49">
        <v>0.2</v>
      </c>
      <c r="G118" s="49">
        <v>0</v>
      </c>
      <c r="H118" s="49">
        <v>6.4</v>
      </c>
      <c r="I118" s="49">
        <v>26.4</v>
      </c>
      <c r="J118" s="50" t="s">
        <v>22</v>
      </c>
      <c r="K118" s="136">
        <v>1.25</v>
      </c>
      <c r="L118" s="150"/>
      <c r="M118" s="82">
        <v>0</v>
      </c>
      <c r="N118" s="82">
        <v>0</v>
      </c>
      <c r="O118" s="82">
        <v>0</v>
      </c>
      <c r="P118" s="82">
        <v>0.1</v>
      </c>
      <c r="Q118" s="82">
        <v>0</v>
      </c>
      <c r="R118" s="82">
        <v>1</v>
      </c>
      <c r="S118" s="82">
        <v>25</v>
      </c>
      <c r="T118" s="82">
        <v>4</v>
      </c>
      <c r="U118" s="82">
        <v>4</v>
      </c>
      <c r="V118" s="82">
        <v>7</v>
      </c>
      <c r="W118" s="82">
        <v>1</v>
      </c>
      <c r="X118" s="82">
        <v>0</v>
      </c>
      <c r="Y118" s="82">
        <v>0</v>
      </c>
    </row>
    <row r="119" spans="1:25" s="45" customFormat="1" ht="22.05" customHeight="1" x14ac:dyDescent="0.3">
      <c r="A119" s="14"/>
      <c r="B119" s="43"/>
      <c r="C119" s="228" t="s">
        <v>105</v>
      </c>
      <c r="D119" s="228"/>
      <c r="E119" s="44">
        <f>SUM(E113:E118)</f>
        <v>601</v>
      </c>
      <c r="F119" s="55">
        <f>SUM(F113:F118)</f>
        <v>21.180999999999997</v>
      </c>
      <c r="G119" s="55">
        <f>SUM(G113:G118)</f>
        <v>19.465500000000002</v>
      </c>
      <c r="H119" s="55">
        <f>SUM(H113:H118)</f>
        <v>65.41</v>
      </c>
      <c r="I119" s="55">
        <f>SUM(I113:I118)</f>
        <v>535.5643</v>
      </c>
      <c r="J119" s="55"/>
      <c r="K119" s="55">
        <f>SUM(K113:K118)</f>
        <v>101.99999999999999</v>
      </c>
      <c r="L119" s="133"/>
      <c r="M119" s="102">
        <f t="shared" ref="M119:Y119" si="40">SUM(M113:M118)</f>
        <v>0.43833333333333335</v>
      </c>
      <c r="N119" s="102">
        <f t="shared" si="40"/>
        <v>0.39466666666666667</v>
      </c>
      <c r="O119" s="102">
        <f t="shared" si="40"/>
        <v>52.18</v>
      </c>
      <c r="P119" s="102">
        <f t="shared" si="40"/>
        <v>5.7279999999999998</v>
      </c>
      <c r="Q119" s="102">
        <f t="shared" si="40"/>
        <v>3.004</v>
      </c>
      <c r="R119" s="102">
        <f t="shared" si="40"/>
        <v>811.1400000000001</v>
      </c>
      <c r="S119" s="102">
        <f t="shared" si="40"/>
        <v>358.61</v>
      </c>
      <c r="T119" s="102">
        <f t="shared" si="40"/>
        <v>113.74199999999999</v>
      </c>
      <c r="U119" s="102">
        <f t="shared" si="40"/>
        <v>74.960000000000008</v>
      </c>
      <c r="V119" s="102">
        <f t="shared" si="40"/>
        <v>307.10000000000002</v>
      </c>
      <c r="W119" s="102">
        <f t="shared" si="40"/>
        <v>6.1383333333333336</v>
      </c>
      <c r="X119" s="102">
        <f t="shared" si="40"/>
        <v>46.730000000000004</v>
      </c>
      <c r="Y119" s="102">
        <f t="shared" si="40"/>
        <v>22.639000000000003</v>
      </c>
    </row>
    <row r="120" spans="1:25" s="113" customFormat="1" ht="22.05" customHeight="1" x14ac:dyDescent="0.3">
      <c r="A120" s="14"/>
      <c r="B120" s="35"/>
      <c r="C120" s="39"/>
      <c r="D120" s="39"/>
      <c r="E120" s="192"/>
      <c r="F120" s="91"/>
      <c r="G120" s="91"/>
      <c r="H120" s="91"/>
      <c r="I120" s="91"/>
      <c r="J120" s="91"/>
      <c r="K120" s="91"/>
      <c r="L120" s="91"/>
      <c r="M120" s="180"/>
      <c r="N120" s="180"/>
      <c r="O120" s="180"/>
      <c r="P120" s="180"/>
      <c r="Q120" s="180"/>
      <c r="R120" s="180"/>
      <c r="S120" s="180"/>
      <c r="T120" s="180"/>
      <c r="U120" s="180"/>
      <c r="V120" s="180"/>
      <c r="W120" s="180"/>
      <c r="X120" s="180"/>
      <c r="Y120" s="180"/>
    </row>
    <row r="121" spans="1:25" s="47" customFormat="1" ht="22.05" customHeight="1" x14ac:dyDescent="0.3">
      <c r="A121" s="14"/>
      <c r="B121" s="35"/>
      <c r="C121" s="31"/>
      <c r="D121" s="31"/>
      <c r="E121" s="14"/>
      <c r="F121" s="36"/>
      <c r="G121" s="36"/>
      <c r="H121" s="36"/>
      <c r="I121" s="36"/>
      <c r="J121" s="14"/>
      <c r="K121" s="61"/>
      <c r="L121" s="61"/>
    </row>
    <row r="122" spans="1:25" s="45" customFormat="1" ht="22.05" customHeight="1" x14ac:dyDescent="0.3">
      <c r="A122" s="20"/>
      <c r="B122" s="225" t="s">
        <v>57</v>
      </c>
      <c r="C122" s="225"/>
      <c r="D122" s="225"/>
      <c r="E122" s="225"/>
      <c r="F122" s="225"/>
      <c r="G122" s="225"/>
      <c r="H122" s="225"/>
      <c r="I122" s="225"/>
      <c r="J122" s="225"/>
      <c r="K122" s="225"/>
      <c r="L122" s="117"/>
      <c r="M122" s="260"/>
      <c r="N122" s="260"/>
      <c r="O122" s="260"/>
      <c r="P122" s="260"/>
      <c r="Q122" s="260"/>
      <c r="R122" s="260"/>
      <c r="S122" s="260"/>
      <c r="T122" s="260"/>
      <c r="U122" s="260"/>
      <c r="V122" s="260"/>
      <c r="W122" s="260"/>
      <c r="X122" s="260"/>
      <c r="Y122" s="260"/>
    </row>
    <row r="123" spans="1:25" s="45" customFormat="1" ht="22.05" customHeight="1" x14ac:dyDescent="0.3">
      <c r="A123" s="20"/>
      <c r="B123" s="231" t="s">
        <v>70</v>
      </c>
      <c r="C123" s="225" t="s">
        <v>1</v>
      </c>
      <c r="D123" s="225"/>
      <c r="E123" s="231" t="s">
        <v>71</v>
      </c>
      <c r="F123" s="225" t="s">
        <v>3</v>
      </c>
      <c r="G123" s="225"/>
      <c r="H123" s="225"/>
      <c r="I123" s="231" t="s">
        <v>142</v>
      </c>
      <c r="J123" s="225" t="s">
        <v>72</v>
      </c>
      <c r="K123" s="225" t="s">
        <v>180</v>
      </c>
      <c r="L123" s="120"/>
      <c r="M123" s="260" t="s">
        <v>156</v>
      </c>
      <c r="N123" s="260"/>
      <c r="O123" s="260"/>
      <c r="P123" s="260"/>
      <c r="Q123" s="260"/>
      <c r="R123" s="260"/>
      <c r="S123" s="260"/>
      <c r="T123" s="260"/>
      <c r="U123" s="260"/>
      <c r="V123" s="260"/>
      <c r="W123" s="260"/>
      <c r="X123" s="260"/>
      <c r="Y123" s="260"/>
    </row>
    <row r="124" spans="1:25" s="45" customFormat="1" ht="43.8" customHeight="1" x14ac:dyDescent="0.3">
      <c r="A124" s="20"/>
      <c r="B124" s="231"/>
      <c r="C124" s="225"/>
      <c r="D124" s="225"/>
      <c r="E124" s="231"/>
      <c r="F124" s="213" t="s">
        <v>139</v>
      </c>
      <c r="G124" s="213" t="s">
        <v>140</v>
      </c>
      <c r="H124" s="213" t="s">
        <v>141</v>
      </c>
      <c r="I124" s="231"/>
      <c r="J124" s="225"/>
      <c r="K124" s="225"/>
      <c r="L124" s="121"/>
      <c r="M124" s="262" t="s">
        <v>81</v>
      </c>
      <c r="N124" s="262"/>
      <c r="O124" s="262"/>
      <c r="P124" s="262"/>
      <c r="Q124" s="262"/>
      <c r="R124" s="262"/>
      <c r="S124" s="262"/>
      <c r="T124" s="262"/>
      <c r="U124" s="262"/>
      <c r="V124" s="262"/>
      <c r="W124" s="262"/>
      <c r="X124" s="262"/>
      <c r="Y124" s="262"/>
    </row>
    <row r="125" spans="1:25" s="47" customFormat="1" ht="22.05" customHeight="1" x14ac:dyDescent="0.3">
      <c r="A125" s="14"/>
      <c r="B125" s="229" t="s">
        <v>81</v>
      </c>
      <c r="C125" s="229"/>
      <c r="D125" s="229"/>
      <c r="E125" s="229"/>
      <c r="F125" s="229"/>
      <c r="G125" s="229"/>
      <c r="H125" s="229"/>
      <c r="I125" s="229"/>
      <c r="J125" s="229"/>
      <c r="K125" s="229"/>
      <c r="L125" s="141"/>
      <c r="M125" s="80" t="s">
        <v>143</v>
      </c>
      <c r="N125" s="80" t="s">
        <v>144</v>
      </c>
      <c r="O125" s="80" t="s">
        <v>145</v>
      </c>
      <c r="P125" s="80" t="s">
        <v>147</v>
      </c>
      <c r="Q125" s="80" t="s">
        <v>146</v>
      </c>
      <c r="R125" s="80" t="s">
        <v>148</v>
      </c>
      <c r="S125" s="80" t="s">
        <v>149</v>
      </c>
      <c r="T125" s="80" t="s">
        <v>150</v>
      </c>
      <c r="U125" s="80" t="s">
        <v>151</v>
      </c>
      <c r="V125" s="80" t="s">
        <v>152</v>
      </c>
      <c r="W125" s="80" t="s">
        <v>153</v>
      </c>
      <c r="X125" s="80" t="s">
        <v>154</v>
      </c>
      <c r="Y125" s="80" t="s">
        <v>155</v>
      </c>
    </row>
    <row r="126" spans="1:25" s="45" customFormat="1" ht="28.2" customHeight="1" x14ac:dyDescent="0.3">
      <c r="A126" s="20"/>
      <c r="B126" s="230" t="s">
        <v>4</v>
      </c>
      <c r="C126" s="224" t="s">
        <v>69</v>
      </c>
      <c r="D126" s="224"/>
      <c r="E126" s="48">
        <v>100</v>
      </c>
      <c r="F126" s="49">
        <v>0.7</v>
      </c>
      <c r="G126" s="49">
        <v>0</v>
      </c>
      <c r="H126" s="49">
        <v>4.2</v>
      </c>
      <c r="I126" s="49">
        <v>19.2</v>
      </c>
      <c r="J126" s="50" t="s">
        <v>193</v>
      </c>
      <c r="K126" s="133">
        <v>42.87</v>
      </c>
      <c r="L126" s="133"/>
      <c r="M126" s="82">
        <v>7.0000000000000007E-2</v>
      </c>
      <c r="N126" s="82">
        <v>0.03</v>
      </c>
      <c r="O126" s="82">
        <v>133.33000000000001</v>
      </c>
      <c r="P126" s="82">
        <v>0.53</v>
      </c>
      <c r="Q126" s="82">
        <v>25</v>
      </c>
      <c r="R126" s="82">
        <v>40</v>
      </c>
      <c r="S126" s="82">
        <v>290</v>
      </c>
      <c r="T126" s="82">
        <v>13.33</v>
      </c>
      <c r="U126" s="82">
        <v>20</v>
      </c>
      <c r="V126" s="82">
        <v>26.67</v>
      </c>
      <c r="W126" s="82">
        <v>1.67</v>
      </c>
      <c r="X126" s="82">
        <v>2</v>
      </c>
      <c r="Y126" s="82">
        <v>0</v>
      </c>
    </row>
    <row r="127" spans="1:25" s="113" customFormat="1" ht="22.05" customHeight="1" x14ac:dyDescent="0.3">
      <c r="A127" s="20"/>
      <c r="B127" s="230"/>
      <c r="C127" s="224" t="s">
        <v>179</v>
      </c>
      <c r="D127" s="224"/>
      <c r="E127" s="48">
        <v>200</v>
      </c>
      <c r="F127" s="49">
        <v>5.27</v>
      </c>
      <c r="G127" s="49">
        <v>7.66</v>
      </c>
      <c r="H127" s="49">
        <v>29.7</v>
      </c>
      <c r="I127" s="49">
        <v>208.3</v>
      </c>
      <c r="J127" s="50" t="s">
        <v>25</v>
      </c>
      <c r="K127" s="133">
        <v>37.86</v>
      </c>
      <c r="L127" s="133"/>
      <c r="M127" s="112">
        <v>0.14000000000000001</v>
      </c>
      <c r="N127" s="112">
        <v>0.2</v>
      </c>
      <c r="O127" s="112">
        <v>20</v>
      </c>
      <c r="P127" s="112">
        <v>5.8</v>
      </c>
      <c r="Q127" s="112">
        <v>10</v>
      </c>
      <c r="R127" s="112">
        <v>323.3</v>
      </c>
      <c r="S127" s="112">
        <v>1023.4</v>
      </c>
      <c r="T127" s="112">
        <v>28.5</v>
      </c>
      <c r="U127" s="112">
        <v>47</v>
      </c>
      <c r="V127" s="112">
        <v>294.60000000000002</v>
      </c>
      <c r="W127" s="112">
        <v>3.8</v>
      </c>
      <c r="X127" s="112">
        <v>20.9</v>
      </c>
      <c r="Y127" s="112">
        <v>0.4</v>
      </c>
    </row>
    <row r="128" spans="1:25" s="45" customFormat="1" ht="22.05" customHeight="1" x14ac:dyDescent="0.3">
      <c r="A128" s="20"/>
      <c r="B128" s="230"/>
      <c r="C128" s="224" t="s">
        <v>111</v>
      </c>
      <c r="D128" s="224"/>
      <c r="E128" s="48">
        <v>50</v>
      </c>
      <c r="F128" s="49">
        <f>F16/100*50</f>
        <v>1.7399999999999998</v>
      </c>
      <c r="G128" s="49">
        <f t="shared" ref="G128:I128" si="41">G16/100*50</f>
        <v>0.32</v>
      </c>
      <c r="H128" s="49">
        <f t="shared" si="41"/>
        <v>10.7</v>
      </c>
      <c r="I128" s="49">
        <f t="shared" si="41"/>
        <v>67.11</v>
      </c>
      <c r="J128" s="48" t="s">
        <v>60</v>
      </c>
      <c r="K128" s="133">
        <v>4.55</v>
      </c>
      <c r="L128" s="133"/>
      <c r="M128" s="82">
        <f t="shared" ref="M128:Y128" si="42">M10/30*50</f>
        <v>0.20500000000000002</v>
      </c>
      <c r="N128" s="82">
        <f t="shared" si="42"/>
        <v>0.12666666666666665</v>
      </c>
      <c r="O128" s="82">
        <f t="shared" si="42"/>
        <v>0</v>
      </c>
      <c r="P128" s="82">
        <f t="shared" si="42"/>
        <v>2.8000000000000003</v>
      </c>
      <c r="Q128" s="82">
        <f t="shared" si="42"/>
        <v>0.1</v>
      </c>
      <c r="R128" s="82">
        <f t="shared" si="42"/>
        <v>236.50000000000003</v>
      </c>
      <c r="S128" s="82">
        <f t="shared" si="42"/>
        <v>62.5</v>
      </c>
      <c r="T128" s="82">
        <f t="shared" si="42"/>
        <v>2.4500000000000002</v>
      </c>
      <c r="U128" s="82">
        <f t="shared" si="42"/>
        <v>20.5</v>
      </c>
      <c r="V128" s="82">
        <f t="shared" si="42"/>
        <v>64.5</v>
      </c>
      <c r="W128" s="82">
        <f t="shared" si="42"/>
        <v>1.8000000000000003</v>
      </c>
      <c r="X128" s="82">
        <f t="shared" si="42"/>
        <v>0</v>
      </c>
      <c r="Y128" s="82">
        <f t="shared" si="42"/>
        <v>14.400000000000002</v>
      </c>
    </row>
    <row r="129" spans="1:25" s="45" customFormat="1" ht="22.05" customHeight="1" x14ac:dyDescent="0.3">
      <c r="A129" s="20"/>
      <c r="B129" s="230"/>
      <c r="C129" s="224" t="s">
        <v>115</v>
      </c>
      <c r="D129" s="224"/>
      <c r="E129" s="48">
        <v>28</v>
      </c>
      <c r="F129" s="49">
        <f>F17/100*28</f>
        <v>0.53200000000000003</v>
      </c>
      <c r="G129" s="49">
        <f t="shared" ref="G129:I129" si="43">G17/100*28</f>
        <v>0.126</v>
      </c>
      <c r="H129" s="49">
        <f t="shared" si="43"/>
        <v>7</v>
      </c>
      <c r="I129" s="49">
        <f t="shared" si="43"/>
        <v>34.644400000000005</v>
      </c>
      <c r="J129" s="48" t="s">
        <v>60</v>
      </c>
      <c r="K129" s="133">
        <v>2.5499999999999998</v>
      </c>
      <c r="L129" s="133"/>
      <c r="M129" s="82">
        <f t="shared" ref="M129:Y129" si="44">M11/30*28</f>
        <v>0.12133333333333332</v>
      </c>
      <c r="N129" s="82">
        <f t="shared" si="44"/>
        <v>9.3333333333333338E-2</v>
      </c>
      <c r="O129" s="82">
        <f t="shared" si="44"/>
        <v>0</v>
      </c>
      <c r="P129" s="82">
        <f t="shared" si="44"/>
        <v>1.0640000000000001</v>
      </c>
      <c r="Q129" s="82">
        <f t="shared" si="44"/>
        <v>0.112</v>
      </c>
      <c r="R129" s="82">
        <f t="shared" si="44"/>
        <v>168.84</v>
      </c>
      <c r="S129" s="82">
        <f t="shared" si="44"/>
        <v>20.439999999999998</v>
      </c>
      <c r="T129" s="82">
        <f t="shared" si="44"/>
        <v>0.33600000000000002</v>
      </c>
      <c r="U129" s="82">
        <f t="shared" si="44"/>
        <v>11.200000000000001</v>
      </c>
      <c r="V129" s="82">
        <f t="shared" si="44"/>
        <v>35</v>
      </c>
      <c r="W129" s="82">
        <f t="shared" si="44"/>
        <v>0.79333333333333333</v>
      </c>
      <c r="X129" s="82">
        <f t="shared" si="44"/>
        <v>0</v>
      </c>
      <c r="Y129" s="82">
        <f t="shared" si="44"/>
        <v>8.6519999999999992</v>
      </c>
    </row>
    <row r="130" spans="1:25" s="19" customFormat="1" ht="22.05" customHeight="1" x14ac:dyDescent="0.3">
      <c r="A130" s="17"/>
      <c r="B130" s="230"/>
      <c r="C130" s="224" t="s">
        <v>8</v>
      </c>
      <c r="D130" s="224"/>
      <c r="E130" s="48">
        <v>200</v>
      </c>
      <c r="F130" s="49">
        <v>3.8</v>
      </c>
      <c r="G130" s="49">
        <v>3.5</v>
      </c>
      <c r="H130" s="49">
        <v>11.1</v>
      </c>
      <c r="I130" s="49">
        <v>90.8</v>
      </c>
      <c r="J130" s="50" t="s">
        <v>7</v>
      </c>
      <c r="K130" s="136">
        <v>14.17</v>
      </c>
      <c r="L130" s="136"/>
      <c r="M130" s="124">
        <v>0.02</v>
      </c>
      <c r="N130" s="124">
        <v>0.11</v>
      </c>
      <c r="O130" s="124">
        <v>12</v>
      </c>
      <c r="P130" s="124">
        <v>0.2</v>
      </c>
      <c r="Q130" s="124">
        <v>0</v>
      </c>
      <c r="R130" s="124">
        <v>51</v>
      </c>
      <c r="S130" s="124">
        <v>221</v>
      </c>
      <c r="T130" s="124">
        <v>112</v>
      </c>
      <c r="U130" s="124">
        <v>30</v>
      </c>
      <c r="V130" s="124">
        <v>107</v>
      </c>
      <c r="W130" s="124">
        <v>1</v>
      </c>
      <c r="X130" s="124">
        <v>9</v>
      </c>
      <c r="Y130" s="124">
        <v>1.8</v>
      </c>
    </row>
    <row r="131" spans="1:25" s="45" customFormat="1" ht="22.05" customHeight="1" x14ac:dyDescent="0.3">
      <c r="A131" s="20"/>
      <c r="B131" s="42"/>
      <c r="C131" s="228" t="s">
        <v>105</v>
      </c>
      <c r="D131" s="228"/>
      <c r="E131" s="44">
        <f>SUM(E126:E130)</f>
        <v>578</v>
      </c>
      <c r="F131" s="55">
        <f>SUM(F126:F130)</f>
        <v>12.041999999999998</v>
      </c>
      <c r="G131" s="55">
        <f>SUM(G126:G130)</f>
        <v>11.606</v>
      </c>
      <c r="H131" s="55">
        <f>SUM(H126:H130)</f>
        <v>62.699999999999996</v>
      </c>
      <c r="I131" s="55">
        <f>SUM(I126:I130)</f>
        <v>420.05440000000004</v>
      </c>
      <c r="J131" s="44"/>
      <c r="K131" s="55">
        <f>SUM(K126:K130)</f>
        <v>101.99999999999999</v>
      </c>
      <c r="L131" s="182"/>
      <c r="M131" s="102">
        <f t="shared" ref="M131:Y131" si="45">SUM(M126:M130)</f>
        <v>0.55633333333333335</v>
      </c>
      <c r="N131" s="102">
        <f t="shared" si="45"/>
        <v>0.56000000000000005</v>
      </c>
      <c r="O131" s="102">
        <f t="shared" si="45"/>
        <v>165.33</v>
      </c>
      <c r="P131" s="102">
        <f t="shared" si="45"/>
        <v>10.394</v>
      </c>
      <c r="Q131" s="102">
        <f t="shared" si="45"/>
        <v>35.212000000000003</v>
      </c>
      <c r="R131" s="102">
        <f t="shared" si="45"/>
        <v>819.6400000000001</v>
      </c>
      <c r="S131" s="102">
        <f t="shared" si="45"/>
        <v>1617.3400000000001</v>
      </c>
      <c r="T131" s="102">
        <f t="shared" si="45"/>
        <v>156.61599999999999</v>
      </c>
      <c r="U131" s="102">
        <f t="shared" si="45"/>
        <v>128.69999999999999</v>
      </c>
      <c r="V131" s="102">
        <f t="shared" si="45"/>
        <v>527.77</v>
      </c>
      <c r="W131" s="102">
        <f t="shared" si="45"/>
        <v>9.0633333333333326</v>
      </c>
      <c r="X131" s="102">
        <f t="shared" si="45"/>
        <v>31.9</v>
      </c>
      <c r="Y131" s="102">
        <f t="shared" si="45"/>
        <v>25.252000000000002</v>
      </c>
    </row>
    <row r="132" spans="1:25" s="47" customFormat="1" ht="22.05" customHeight="1" x14ac:dyDescent="0.3">
      <c r="A132" s="14"/>
      <c r="B132" s="40"/>
      <c r="C132" s="16"/>
      <c r="D132" s="16"/>
      <c r="E132" s="41"/>
      <c r="F132" s="41"/>
      <c r="G132" s="41"/>
      <c r="H132" s="41"/>
      <c r="I132" s="41"/>
      <c r="J132" s="14"/>
      <c r="K132" s="61"/>
      <c r="L132" s="61"/>
    </row>
    <row r="133" spans="1:25" s="47" customFormat="1" ht="22.05" customHeight="1" x14ac:dyDescent="0.3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61"/>
      <c r="L133" s="61"/>
    </row>
    <row r="134" spans="1:25" s="45" customFormat="1" ht="22.05" customHeight="1" x14ac:dyDescent="0.3">
      <c r="A134" s="20"/>
      <c r="B134" s="225" t="s">
        <v>57</v>
      </c>
      <c r="C134" s="225"/>
      <c r="D134" s="225"/>
      <c r="E134" s="225"/>
      <c r="F134" s="225"/>
      <c r="G134" s="225"/>
      <c r="H134" s="225"/>
      <c r="I134" s="225"/>
      <c r="J134" s="225"/>
      <c r="K134" s="225"/>
      <c r="L134" s="117"/>
      <c r="M134" s="260"/>
      <c r="N134" s="260"/>
      <c r="O134" s="260"/>
      <c r="P134" s="260"/>
      <c r="Q134" s="260"/>
      <c r="R134" s="260"/>
      <c r="S134" s="260"/>
      <c r="T134" s="260"/>
      <c r="U134" s="260"/>
      <c r="V134" s="260"/>
      <c r="W134" s="260"/>
      <c r="X134" s="260"/>
      <c r="Y134" s="260"/>
    </row>
    <row r="135" spans="1:25" s="45" customFormat="1" ht="22.05" customHeight="1" x14ac:dyDescent="0.3">
      <c r="A135" s="20"/>
      <c r="B135" s="231" t="s">
        <v>70</v>
      </c>
      <c r="C135" s="225" t="s">
        <v>1</v>
      </c>
      <c r="D135" s="225"/>
      <c r="E135" s="231" t="s">
        <v>71</v>
      </c>
      <c r="F135" s="225" t="s">
        <v>3</v>
      </c>
      <c r="G135" s="225"/>
      <c r="H135" s="225"/>
      <c r="I135" s="231" t="s">
        <v>142</v>
      </c>
      <c r="J135" s="225" t="s">
        <v>72</v>
      </c>
      <c r="K135" s="225" t="s">
        <v>180</v>
      </c>
      <c r="L135" s="118"/>
      <c r="M135" s="259" t="s">
        <v>156</v>
      </c>
      <c r="N135" s="260"/>
      <c r="O135" s="260"/>
      <c r="P135" s="260"/>
      <c r="Q135" s="260"/>
      <c r="R135" s="260"/>
      <c r="S135" s="260"/>
      <c r="T135" s="260"/>
      <c r="U135" s="260"/>
      <c r="V135" s="260"/>
      <c r="W135" s="260"/>
      <c r="X135" s="260"/>
      <c r="Y135" s="260"/>
    </row>
    <row r="136" spans="1:25" s="45" customFormat="1" ht="42.6" customHeight="1" x14ac:dyDescent="0.3">
      <c r="A136" s="20"/>
      <c r="B136" s="231"/>
      <c r="C136" s="225"/>
      <c r="D136" s="225"/>
      <c r="E136" s="231"/>
      <c r="F136" s="213" t="s">
        <v>139</v>
      </c>
      <c r="G136" s="213" t="s">
        <v>140</v>
      </c>
      <c r="H136" s="213" t="s">
        <v>141</v>
      </c>
      <c r="I136" s="231"/>
      <c r="J136" s="225"/>
      <c r="K136" s="225"/>
      <c r="L136" s="119"/>
      <c r="M136" s="261" t="s">
        <v>84</v>
      </c>
      <c r="N136" s="262"/>
      <c r="O136" s="262"/>
      <c r="P136" s="262"/>
      <c r="Q136" s="262"/>
      <c r="R136" s="262"/>
      <c r="S136" s="262"/>
      <c r="T136" s="262"/>
      <c r="U136" s="262"/>
      <c r="V136" s="262"/>
      <c r="W136" s="262"/>
      <c r="X136" s="262"/>
      <c r="Y136" s="262"/>
    </row>
    <row r="137" spans="1:25" s="45" customFormat="1" ht="22.05" customHeight="1" x14ac:dyDescent="0.3">
      <c r="A137" s="20"/>
      <c r="B137" s="229" t="s">
        <v>84</v>
      </c>
      <c r="C137" s="229"/>
      <c r="D137" s="229"/>
      <c r="E137" s="229"/>
      <c r="F137" s="229"/>
      <c r="G137" s="229"/>
      <c r="H137" s="229"/>
      <c r="I137" s="229"/>
      <c r="J137" s="229"/>
      <c r="K137" s="229"/>
      <c r="L137" s="141"/>
      <c r="M137" s="127" t="s">
        <v>143</v>
      </c>
      <c r="N137" s="81" t="s">
        <v>144</v>
      </c>
      <c r="O137" s="81" t="s">
        <v>145</v>
      </c>
      <c r="P137" s="81" t="s">
        <v>147</v>
      </c>
      <c r="Q137" s="81" t="s">
        <v>146</v>
      </c>
      <c r="R137" s="81" t="s">
        <v>148</v>
      </c>
      <c r="S137" s="81" t="s">
        <v>149</v>
      </c>
      <c r="T137" s="81" t="s">
        <v>150</v>
      </c>
      <c r="U137" s="81" t="s">
        <v>151</v>
      </c>
      <c r="V137" s="81" t="s">
        <v>152</v>
      </c>
      <c r="W137" s="81" t="s">
        <v>153</v>
      </c>
      <c r="X137" s="81" t="s">
        <v>154</v>
      </c>
      <c r="Y137" s="81" t="s">
        <v>155</v>
      </c>
    </row>
    <row r="138" spans="1:25" s="113" customFormat="1" ht="22.05" customHeight="1" x14ac:dyDescent="0.3">
      <c r="A138" s="20"/>
      <c r="B138" s="242" t="s">
        <v>4</v>
      </c>
      <c r="C138" s="224" t="s">
        <v>218</v>
      </c>
      <c r="D138" s="224"/>
      <c r="E138" s="48">
        <v>70</v>
      </c>
      <c r="F138" s="49">
        <v>1.03</v>
      </c>
      <c r="G138" s="49">
        <v>4.01</v>
      </c>
      <c r="H138" s="49">
        <v>4.53</v>
      </c>
      <c r="I138" s="49">
        <v>58.4</v>
      </c>
      <c r="J138" s="50" t="s">
        <v>190</v>
      </c>
      <c r="K138" s="133">
        <v>11.52</v>
      </c>
      <c r="L138" s="133"/>
      <c r="M138" s="112">
        <v>0.05</v>
      </c>
      <c r="N138" s="112">
        <v>0.05</v>
      </c>
      <c r="O138" s="112">
        <v>111.4</v>
      </c>
      <c r="P138" s="112">
        <v>0.5</v>
      </c>
      <c r="Q138" s="112">
        <v>46</v>
      </c>
      <c r="R138" s="112">
        <v>102</v>
      </c>
      <c r="S138" s="112">
        <v>189</v>
      </c>
      <c r="T138" s="112">
        <v>49</v>
      </c>
      <c r="U138" s="112">
        <v>18</v>
      </c>
      <c r="V138" s="112">
        <v>34</v>
      </c>
      <c r="W138" s="112">
        <v>1</v>
      </c>
      <c r="X138" s="112">
        <v>12.5</v>
      </c>
      <c r="Y138" s="112">
        <v>0.2</v>
      </c>
    </row>
    <row r="139" spans="1:25" s="113" customFormat="1" ht="22.05" customHeight="1" x14ac:dyDescent="0.3">
      <c r="B139" s="242"/>
      <c r="C139" s="241" t="s">
        <v>29</v>
      </c>
      <c r="D139" s="241"/>
      <c r="E139" s="114">
        <v>150</v>
      </c>
      <c r="F139" s="115">
        <v>3.6</v>
      </c>
      <c r="G139" s="115">
        <v>5.2</v>
      </c>
      <c r="H139" s="115">
        <v>38.1</v>
      </c>
      <c r="I139" s="115">
        <v>213.5</v>
      </c>
      <c r="J139" s="116" t="s">
        <v>28</v>
      </c>
      <c r="K139" s="137">
        <v>13.32</v>
      </c>
      <c r="L139" s="139"/>
      <c r="M139" s="129">
        <v>0</v>
      </c>
      <c r="N139" s="112">
        <v>0</v>
      </c>
      <c r="O139" s="112">
        <v>20</v>
      </c>
      <c r="P139" s="112">
        <v>0.7</v>
      </c>
      <c r="Q139" s="112">
        <v>0</v>
      </c>
      <c r="R139" s="112">
        <v>206</v>
      </c>
      <c r="S139" s="112">
        <v>31</v>
      </c>
      <c r="T139" s="112">
        <v>14</v>
      </c>
      <c r="U139" s="112">
        <v>10</v>
      </c>
      <c r="V139" s="112">
        <v>47</v>
      </c>
      <c r="W139" s="112">
        <v>1</v>
      </c>
      <c r="X139" s="112">
        <v>20</v>
      </c>
      <c r="Y139" s="112">
        <v>7.3</v>
      </c>
    </row>
    <row r="140" spans="1:25" s="113" customFormat="1" ht="30" customHeight="1" x14ac:dyDescent="0.3">
      <c r="B140" s="242"/>
      <c r="C140" s="241" t="s">
        <v>207</v>
      </c>
      <c r="D140" s="241"/>
      <c r="E140" s="114">
        <v>140</v>
      </c>
      <c r="F140" s="115">
        <v>10</v>
      </c>
      <c r="G140" s="115">
        <v>2.97</v>
      </c>
      <c r="H140" s="115">
        <v>7.76</v>
      </c>
      <c r="I140" s="115">
        <v>105.96</v>
      </c>
      <c r="J140" s="116" t="s">
        <v>208</v>
      </c>
      <c r="K140" s="137">
        <v>56.76</v>
      </c>
      <c r="L140" s="139"/>
      <c r="M140" s="129">
        <v>0.12</v>
      </c>
      <c r="N140" s="129">
        <v>0.1</v>
      </c>
      <c r="O140" s="129">
        <v>5.57</v>
      </c>
      <c r="P140" s="129">
        <v>4.92</v>
      </c>
      <c r="Q140" s="129">
        <v>0</v>
      </c>
      <c r="R140" s="129">
        <v>275</v>
      </c>
      <c r="S140" s="129">
        <v>259</v>
      </c>
      <c r="T140" s="129">
        <v>42</v>
      </c>
      <c r="U140" s="129">
        <v>62</v>
      </c>
      <c r="V140" s="129">
        <v>148</v>
      </c>
      <c r="W140" s="129">
        <v>1.2</v>
      </c>
      <c r="X140" s="129">
        <v>15</v>
      </c>
      <c r="Y140" s="129">
        <v>16</v>
      </c>
    </row>
    <row r="141" spans="1:25" s="45" customFormat="1" ht="22.05" customHeight="1" x14ac:dyDescent="0.3">
      <c r="A141" s="20"/>
      <c r="B141" s="242"/>
      <c r="C141" s="224" t="s">
        <v>111</v>
      </c>
      <c r="D141" s="224"/>
      <c r="E141" s="48">
        <v>50</v>
      </c>
      <c r="F141" s="49">
        <f>F16/100*50</f>
        <v>1.7399999999999998</v>
      </c>
      <c r="G141" s="49">
        <f t="shared" ref="G141:I141" si="46">G16/100*50</f>
        <v>0.32</v>
      </c>
      <c r="H141" s="49">
        <f t="shared" si="46"/>
        <v>10.7</v>
      </c>
      <c r="I141" s="49">
        <f t="shared" si="46"/>
        <v>67.11</v>
      </c>
      <c r="J141" s="48" t="s">
        <v>60</v>
      </c>
      <c r="K141" s="133">
        <v>4.55</v>
      </c>
      <c r="L141" s="140"/>
      <c r="M141" s="128">
        <f>M10/30*50</f>
        <v>0.20500000000000002</v>
      </c>
      <c r="N141" s="128">
        <f t="shared" ref="N141:Y141" si="47">N10/30*50</f>
        <v>0.12666666666666665</v>
      </c>
      <c r="O141" s="128">
        <f t="shared" si="47"/>
        <v>0</v>
      </c>
      <c r="P141" s="128">
        <f t="shared" si="47"/>
        <v>2.8000000000000003</v>
      </c>
      <c r="Q141" s="128">
        <f t="shared" si="47"/>
        <v>0.1</v>
      </c>
      <c r="R141" s="128">
        <f t="shared" si="47"/>
        <v>236.50000000000003</v>
      </c>
      <c r="S141" s="128">
        <f t="shared" si="47"/>
        <v>62.5</v>
      </c>
      <c r="T141" s="128">
        <f t="shared" si="47"/>
        <v>2.4500000000000002</v>
      </c>
      <c r="U141" s="128">
        <f t="shared" si="47"/>
        <v>20.5</v>
      </c>
      <c r="V141" s="128">
        <f t="shared" si="47"/>
        <v>64.5</v>
      </c>
      <c r="W141" s="128">
        <f t="shared" si="47"/>
        <v>1.8000000000000003</v>
      </c>
      <c r="X141" s="128">
        <f t="shared" si="47"/>
        <v>0</v>
      </c>
      <c r="Y141" s="128">
        <f t="shared" si="47"/>
        <v>14.400000000000002</v>
      </c>
    </row>
    <row r="142" spans="1:25" s="45" customFormat="1" ht="22.05" customHeight="1" x14ac:dyDescent="0.3">
      <c r="A142" s="20"/>
      <c r="B142" s="242"/>
      <c r="C142" s="224" t="s">
        <v>115</v>
      </c>
      <c r="D142" s="224"/>
      <c r="E142" s="48">
        <v>40</v>
      </c>
      <c r="F142" s="49">
        <f>F17/100*40</f>
        <v>0.76</v>
      </c>
      <c r="G142" s="49">
        <f t="shared" ref="G142:I142" si="48">G17/100*40</f>
        <v>0.18000000000000002</v>
      </c>
      <c r="H142" s="49">
        <f t="shared" si="48"/>
        <v>10</v>
      </c>
      <c r="I142" s="49">
        <f t="shared" si="48"/>
        <v>49.492000000000004</v>
      </c>
      <c r="J142" s="48" t="s">
        <v>60</v>
      </c>
      <c r="K142" s="133">
        <v>3.18</v>
      </c>
      <c r="L142" s="140"/>
      <c r="M142" s="128">
        <f>M11/30*35</f>
        <v>0.15166666666666667</v>
      </c>
      <c r="N142" s="128">
        <f t="shared" ref="N142:Y142" si="49">N11/30*35</f>
        <v>0.11666666666666667</v>
      </c>
      <c r="O142" s="128">
        <f t="shared" si="49"/>
        <v>0</v>
      </c>
      <c r="P142" s="128">
        <f t="shared" si="49"/>
        <v>1.33</v>
      </c>
      <c r="Q142" s="128">
        <f t="shared" si="49"/>
        <v>0.14000000000000001</v>
      </c>
      <c r="R142" s="128">
        <f t="shared" si="49"/>
        <v>211.05</v>
      </c>
      <c r="S142" s="128">
        <f t="shared" si="49"/>
        <v>25.55</v>
      </c>
      <c r="T142" s="128">
        <f t="shared" si="49"/>
        <v>0.42</v>
      </c>
      <c r="U142" s="128">
        <f t="shared" si="49"/>
        <v>14</v>
      </c>
      <c r="V142" s="128">
        <f t="shared" si="49"/>
        <v>43.75</v>
      </c>
      <c r="W142" s="128">
        <f t="shared" si="49"/>
        <v>0.99166666666666659</v>
      </c>
      <c r="X142" s="128">
        <f t="shared" si="49"/>
        <v>0</v>
      </c>
      <c r="Y142" s="128">
        <f t="shared" si="49"/>
        <v>10.815</v>
      </c>
    </row>
    <row r="143" spans="1:25" s="45" customFormat="1" ht="22.05" customHeight="1" x14ac:dyDescent="0.3">
      <c r="A143" s="20"/>
      <c r="B143" s="242"/>
      <c r="C143" s="224" t="s">
        <v>187</v>
      </c>
      <c r="D143" s="224"/>
      <c r="E143" s="48">
        <v>200</v>
      </c>
      <c r="F143" s="49">
        <v>0.6</v>
      </c>
      <c r="G143" s="49">
        <v>0</v>
      </c>
      <c r="H143" s="49">
        <v>22.7</v>
      </c>
      <c r="I143" s="49">
        <v>93.2</v>
      </c>
      <c r="J143" s="50" t="s">
        <v>188</v>
      </c>
      <c r="K143" s="133">
        <v>12.67</v>
      </c>
      <c r="L143" s="133"/>
      <c r="M143" s="82">
        <v>0.03</v>
      </c>
      <c r="N143" s="82">
        <v>0.06</v>
      </c>
      <c r="O143" s="82">
        <v>129</v>
      </c>
      <c r="P143" s="82">
        <v>0.9</v>
      </c>
      <c r="Q143" s="82">
        <v>1</v>
      </c>
      <c r="R143" s="82">
        <v>6</v>
      </c>
      <c r="S143" s="82">
        <v>635</v>
      </c>
      <c r="T143" s="82">
        <v>52</v>
      </c>
      <c r="U143" s="82">
        <v>34</v>
      </c>
      <c r="V143" s="82">
        <v>47</v>
      </c>
      <c r="W143" s="82">
        <v>1</v>
      </c>
      <c r="X143" s="82">
        <v>0</v>
      </c>
      <c r="Y143" s="82">
        <v>0</v>
      </c>
    </row>
    <row r="144" spans="1:25" s="47" customFormat="1" ht="22.05" customHeight="1" x14ac:dyDescent="0.3">
      <c r="A144" s="14"/>
      <c r="B144" s="43"/>
      <c r="C144" s="228" t="s">
        <v>105</v>
      </c>
      <c r="D144" s="228"/>
      <c r="E144" s="44">
        <f>SUM(E138:E143)</f>
        <v>650</v>
      </c>
      <c r="F144" s="55">
        <f>SUM(F138:F143)</f>
        <v>17.73</v>
      </c>
      <c r="G144" s="55">
        <f>SUM(G138:G143)</f>
        <v>12.680000000000001</v>
      </c>
      <c r="H144" s="55">
        <f>SUM(H138:H143)</f>
        <v>93.79</v>
      </c>
      <c r="I144" s="55">
        <f>SUM(I138:I143)</f>
        <v>587.66200000000003</v>
      </c>
      <c r="J144" s="44"/>
      <c r="K144" s="138">
        <f>SUM(K138:K143)</f>
        <v>102</v>
      </c>
      <c r="L144" s="142"/>
      <c r="M144" s="130">
        <f t="shared" ref="M144:Y144" si="50">SUM(M138:M143)</f>
        <v>0.55666666666666664</v>
      </c>
      <c r="N144" s="104">
        <f t="shared" si="50"/>
        <v>0.45333333333333331</v>
      </c>
      <c r="O144" s="104">
        <f t="shared" si="50"/>
        <v>265.97000000000003</v>
      </c>
      <c r="P144" s="104">
        <f t="shared" si="50"/>
        <v>11.15</v>
      </c>
      <c r="Q144" s="104">
        <f t="shared" si="50"/>
        <v>47.24</v>
      </c>
      <c r="R144" s="104">
        <f t="shared" si="50"/>
        <v>1036.55</v>
      </c>
      <c r="S144" s="104">
        <f t="shared" si="50"/>
        <v>1202.05</v>
      </c>
      <c r="T144" s="104">
        <f t="shared" si="50"/>
        <v>159.87</v>
      </c>
      <c r="U144" s="104">
        <f t="shared" si="50"/>
        <v>158.5</v>
      </c>
      <c r="V144" s="104">
        <f t="shared" si="50"/>
        <v>384.25</v>
      </c>
      <c r="W144" s="104">
        <f t="shared" si="50"/>
        <v>6.9916666666666663</v>
      </c>
      <c r="X144" s="104">
        <f t="shared" si="50"/>
        <v>47.5</v>
      </c>
      <c r="Y144" s="104">
        <f t="shared" si="50"/>
        <v>48.715000000000003</v>
      </c>
    </row>
    <row r="145" spans="1:25" s="219" customFormat="1" ht="22.05" customHeight="1" x14ac:dyDescent="0.3">
      <c r="A145" s="14"/>
      <c r="B145" s="35"/>
      <c r="C145" s="39"/>
      <c r="D145" s="39"/>
      <c r="E145" s="212">
        <f>(E28+E41+E54+E66+E79+E93+E106+E119+E131+E144)/10</f>
        <v>628.20000000000005</v>
      </c>
      <c r="F145" s="91">
        <f>(F28+F41+F54+F66+F79+F93+F106+F119+F131+F144)/10</f>
        <v>18.176459999999999</v>
      </c>
      <c r="G145" s="91">
        <f>(G28+G41+G54+G66+G79+G93+G106+G119+G131+G144)/10</f>
        <v>16.60453</v>
      </c>
      <c r="H145" s="91">
        <f>(H28+H41+H54+H66+H79+H93+H106+H119+H131+H144)/10</f>
        <v>76.100799999999992</v>
      </c>
      <c r="I145" s="91">
        <f>(I28+I41+I54+I66+I79+I93+I106+I119+I131+I144)/10</f>
        <v>545.08859000000007</v>
      </c>
      <c r="J145" s="212"/>
      <c r="K145" s="217"/>
      <c r="L145" s="217"/>
      <c r="M145" s="218"/>
      <c r="N145" s="218"/>
      <c r="O145" s="218"/>
      <c r="P145" s="218"/>
      <c r="Q145" s="218"/>
      <c r="R145" s="218"/>
      <c r="S145" s="218"/>
      <c r="T145" s="218"/>
      <c r="U145" s="218"/>
      <c r="V145" s="218"/>
      <c r="W145" s="218"/>
      <c r="X145" s="218"/>
      <c r="Y145" s="218"/>
    </row>
    <row r="146" spans="1:25" s="219" customFormat="1" ht="22.05" customHeight="1" x14ac:dyDescent="0.3">
      <c r="A146" s="14"/>
      <c r="B146" s="35"/>
      <c r="C146" s="39"/>
      <c r="D146" s="39"/>
      <c r="E146" s="216"/>
      <c r="F146" s="91"/>
      <c r="G146" s="91"/>
      <c r="H146" s="91"/>
      <c r="I146" s="91"/>
      <c r="J146" s="216"/>
      <c r="K146" s="217"/>
      <c r="L146" s="217"/>
      <c r="M146" s="218"/>
      <c r="N146" s="218"/>
      <c r="O146" s="218"/>
      <c r="P146" s="218"/>
      <c r="Q146" s="218"/>
      <c r="R146" s="218"/>
      <c r="S146" s="218"/>
      <c r="T146" s="218"/>
      <c r="U146" s="218"/>
      <c r="V146" s="218"/>
      <c r="W146" s="218"/>
      <c r="X146" s="218"/>
      <c r="Y146" s="218"/>
    </row>
    <row r="147" spans="1:25" ht="22.05" customHeight="1" x14ac:dyDescent="0.3">
      <c r="B147" s="237" t="s">
        <v>38</v>
      </c>
      <c r="C147" s="237"/>
      <c r="D147" s="237"/>
      <c r="E147" s="237"/>
      <c r="F147" s="237"/>
      <c r="G147" s="237"/>
      <c r="H147" s="237"/>
      <c r="I147" s="237"/>
      <c r="J147" s="5"/>
      <c r="K147" s="62"/>
      <c r="L147" s="62"/>
    </row>
    <row r="148" spans="1:25" ht="22.05" customHeight="1" x14ac:dyDescent="0.3">
      <c r="B148" s="237"/>
      <c r="C148" s="237"/>
      <c r="D148" s="237"/>
      <c r="E148" s="237"/>
      <c r="F148" s="237"/>
      <c r="G148" s="237"/>
      <c r="H148" s="237"/>
      <c r="I148" s="237"/>
      <c r="J148" s="6"/>
      <c r="K148" s="62"/>
      <c r="L148" s="62"/>
    </row>
    <row r="149" spans="1:25" ht="22.05" customHeight="1" x14ac:dyDescent="0.3">
      <c r="B149" s="237"/>
      <c r="C149" s="237"/>
      <c r="D149" s="237"/>
      <c r="E149" s="237"/>
      <c r="F149" s="237"/>
      <c r="G149" s="237"/>
      <c r="H149" s="237"/>
      <c r="I149" s="237"/>
      <c r="J149" s="7"/>
      <c r="K149" s="62"/>
      <c r="L149" s="62"/>
    </row>
    <row r="150" spans="1:25" ht="22.05" customHeight="1" x14ac:dyDescent="0.3">
      <c r="B150" s="238"/>
      <c r="C150" s="238"/>
      <c r="D150" s="238"/>
      <c r="E150" s="238"/>
      <c r="F150" s="238"/>
      <c r="G150" s="238"/>
      <c r="H150" s="238"/>
      <c r="I150" s="238"/>
      <c r="J150" s="27"/>
      <c r="K150" s="62"/>
      <c r="L150" s="62"/>
    </row>
    <row r="151" spans="1:25" ht="22.05" customHeight="1" x14ac:dyDescent="0.3">
      <c r="B151" s="239" t="s">
        <v>54</v>
      </c>
      <c r="C151" s="239"/>
      <c r="D151" s="239"/>
      <c r="E151" s="239"/>
      <c r="F151" s="239"/>
      <c r="G151" s="239"/>
      <c r="H151" s="239"/>
      <c r="I151" s="239"/>
      <c r="J151" s="22">
        <v>1</v>
      </c>
    </row>
    <row r="152" spans="1:25" ht="22.05" customHeight="1" x14ac:dyDescent="0.3">
      <c r="B152" s="240" t="s">
        <v>42</v>
      </c>
      <c r="C152" s="240"/>
      <c r="D152" s="240"/>
      <c r="E152" s="240"/>
      <c r="F152" s="240"/>
      <c r="G152" s="240"/>
      <c r="H152" s="240"/>
      <c r="I152" s="240"/>
      <c r="J152" s="22">
        <v>2</v>
      </c>
      <c r="K152" s="62"/>
      <c r="L152" s="62"/>
    </row>
    <row r="153" spans="1:25" ht="22.05" customHeight="1" x14ac:dyDescent="0.3">
      <c r="B153" s="240" t="s">
        <v>43</v>
      </c>
      <c r="C153" s="240"/>
      <c r="D153" s="240"/>
      <c r="E153" s="240"/>
      <c r="F153" s="240"/>
      <c r="G153" s="240"/>
      <c r="H153" s="240"/>
      <c r="I153" s="240"/>
      <c r="J153" s="22">
        <v>3</v>
      </c>
      <c r="K153" s="62"/>
      <c r="L153" s="62"/>
    </row>
    <row r="154" spans="1:25" ht="22.05" customHeight="1" x14ac:dyDescent="0.3">
      <c r="B154" s="236" t="s">
        <v>45</v>
      </c>
      <c r="C154" s="236"/>
      <c r="D154" s="236"/>
      <c r="E154" s="236"/>
      <c r="F154" s="236"/>
      <c r="G154" s="236"/>
      <c r="H154" s="236"/>
      <c r="I154" s="236"/>
      <c r="J154" s="22">
        <v>4</v>
      </c>
      <c r="K154" s="62"/>
      <c r="L154" s="62"/>
    </row>
    <row r="155" spans="1:25" ht="22.05" customHeight="1" x14ac:dyDescent="0.3">
      <c r="B155" s="30"/>
      <c r="C155" s="8"/>
      <c r="D155" s="8"/>
      <c r="E155" s="8"/>
      <c r="F155" s="8"/>
      <c r="G155" s="8"/>
      <c r="H155" s="8"/>
      <c r="I155" s="8"/>
      <c r="J155" s="8"/>
      <c r="K155" s="62"/>
      <c r="L155" s="62"/>
    </row>
  </sheetData>
  <mergeCells count="221">
    <mergeCell ref="M82:Y82"/>
    <mergeCell ref="M96:Y96"/>
    <mergeCell ref="M109:Y109"/>
    <mergeCell ref="M122:Y122"/>
    <mergeCell ref="M20:Y20"/>
    <mergeCell ref="M19:Y19"/>
    <mergeCell ref="M33:Y33"/>
    <mergeCell ref="M32:Y32"/>
    <mergeCell ref="M57:Y57"/>
    <mergeCell ref="M58:Y58"/>
    <mergeCell ref="M45:Y45"/>
    <mergeCell ref="M46:Y46"/>
    <mergeCell ref="B14:J14"/>
    <mergeCell ref="B15:J15"/>
    <mergeCell ref="B21:K21"/>
    <mergeCell ref="B13:J13"/>
    <mergeCell ref="C22:D22"/>
    <mergeCell ref="C23:D23"/>
    <mergeCell ref="M135:Y135"/>
    <mergeCell ref="M136:Y136"/>
    <mergeCell ref="M70:Y70"/>
    <mergeCell ref="M71:Y71"/>
    <mergeCell ref="M83:Y83"/>
    <mergeCell ref="M84:Y84"/>
    <mergeCell ref="M97:Y97"/>
    <mergeCell ref="M98:Y98"/>
    <mergeCell ref="M110:Y110"/>
    <mergeCell ref="M111:Y111"/>
    <mergeCell ref="M123:Y123"/>
    <mergeCell ref="M124:Y124"/>
    <mergeCell ref="M134:Y134"/>
    <mergeCell ref="M18:Y18"/>
    <mergeCell ref="M31:Y31"/>
    <mergeCell ref="M56:Y56"/>
    <mergeCell ref="M44:Y44"/>
    <mergeCell ref="M69:Y69"/>
    <mergeCell ref="B18:K18"/>
    <mergeCell ref="B31:K31"/>
    <mergeCell ref="J19:J20"/>
    <mergeCell ref="E19:E20"/>
    <mergeCell ref="F19:H19"/>
    <mergeCell ref="I19:I20"/>
    <mergeCell ref="C24:D24"/>
    <mergeCell ref="B32:B33"/>
    <mergeCell ref="K19:K20"/>
    <mergeCell ref="B45:B46"/>
    <mergeCell ref="J45:J46"/>
    <mergeCell ref="E45:E46"/>
    <mergeCell ref="F45:H45"/>
    <mergeCell ref="I45:I46"/>
    <mergeCell ref="C45:D46"/>
    <mergeCell ref="J32:J33"/>
    <mergeCell ref="B44:K44"/>
    <mergeCell ref="C37:D37"/>
    <mergeCell ref="C35:D35"/>
    <mergeCell ref="C32:D33"/>
    <mergeCell ref="E32:E33"/>
    <mergeCell ref="F32:H32"/>
    <mergeCell ref="I32:I33"/>
    <mergeCell ref="C41:D41"/>
    <mergeCell ref="K45:K46"/>
    <mergeCell ref="B1:J1"/>
    <mergeCell ref="H5:J5"/>
    <mergeCell ref="G6:J6"/>
    <mergeCell ref="G7:J7"/>
    <mergeCell ref="G8:J8"/>
    <mergeCell ref="B22:B27"/>
    <mergeCell ref="B35:B40"/>
    <mergeCell ref="B17:D17"/>
    <mergeCell ref="B19:B20"/>
    <mergeCell ref="C19:D20"/>
    <mergeCell ref="C28:D28"/>
    <mergeCell ref="C30:D30"/>
    <mergeCell ref="C25:D25"/>
    <mergeCell ref="C27:D27"/>
    <mergeCell ref="C36:D36"/>
    <mergeCell ref="C38:D38"/>
    <mergeCell ref="C26:D26"/>
    <mergeCell ref="C40:D40"/>
    <mergeCell ref="B2:J2"/>
    <mergeCell ref="B3:J3"/>
    <mergeCell ref="B34:K34"/>
    <mergeCell ref="K32:K33"/>
    <mergeCell ref="C39:D39"/>
    <mergeCell ref="B12:J12"/>
    <mergeCell ref="J123:J124"/>
    <mergeCell ref="B125:K125"/>
    <mergeCell ref="C115:D115"/>
    <mergeCell ref="C106:D106"/>
    <mergeCell ref="C103:D103"/>
    <mergeCell ref="B122:K122"/>
    <mergeCell ref="C126:D126"/>
    <mergeCell ref="K123:K124"/>
    <mergeCell ref="K110:K111"/>
    <mergeCell ref="J110:J111"/>
    <mergeCell ref="C114:D114"/>
    <mergeCell ref="B110:B111"/>
    <mergeCell ref="C110:D111"/>
    <mergeCell ref="E110:E111"/>
    <mergeCell ref="F110:H110"/>
    <mergeCell ref="I110:I111"/>
    <mergeCell ref="C105:D105"/>
    <mergeCell ref="C104:D104"/>
    <mergeCell ref="B112:K112"/>
    <mergeCell ref="B100:B105"/>
    <mergeCell ref="C116:D116"/>
    <mergeCell ref="F123:H123"/>
    <mergeCell ref="C118:D118"/>
    <mergeCell ref="I123:I124"/>
    <mergeCell ref="C75:D75"/>
    <mergeCell ref="C76:D76"/>
    <mergeCell ref="B154:I154"/>
    <mergeCell ref="B147:I149"/>
    <mergeCell ref="B150:I150"/>
    <mergeCell ref="B151:I151"/>
    <mergeCell ref="B152:I152"/>
    <mergeCell ref="B153:I153"/>
    <mergeCell ref="C144:D144"/>
    <mergeCell ref="C139:D139"/>
    <mergeCell ref="C141:D141"/>
    <mergeCell ref="B138:B143"/>
    <mergeCell ref="C138:D138"/>
    <mergeCell ref="C140:D140"/>
    <mergeCell ref="C143:D143"/>
    <mergeCell ref="C142:D142"/>
    <mergeCell ref="C60:D60"/>
    <mergeCell ref="I70:I71"/>
    <mergeCell ref="C131:D131"/>
    <mergeCell ref="B126:B130"/>
    <mergeCell ref="K57:K58"/>
    <mergeCell ref="B56:K56"/>
    <mergeCell ref="C61:D61"/>
    <mergeCell ref="J83:J84"/>
    <mergeCell ref="B87:B92"/>
    <mergeCell ref="B97:B98"/>
    <mergeCell ref="K97:K98"/>
    <mergeCell ref="C91:D91"/>
    <mergeCell ref="F97:H97"/>
    <mergeCell ref="J97:J98"/>
    <mergeCell ref="C88:D88"/>
    <mergeCell ref="C86:D86"/>
    <mergeCell ref="B81:D81"/>
    <mergeCell ref="C77:D77"/>
    <mergeCell ref="C74:D74"/>
    <mergeCell ref="C63:D63"/>
    <mergeCell ref="B60:B65"/>
    <mergeCell ref="B72:K72"/>
    <mergeCell ref="B73:B77"/>
    <mergeCell ref="C73:D73"/>
    <mergeCell ref="E97:E98"/>
    <mergeCell ref="C79:D79"/>
    <mergeCell ref="I83:I84"/>
    <mergeCell ref="C89:D89"/>
    <mergeCell ref="B47:K47"/>
    <mergeCell ref="K70:K71"/>
    <mergeCell ref="I57:I58"/>
    <mergeCell ref="B57:B58"/>
    <mergeCell ref="C57:D58"/>
    <mergeCell ref="E57:E58"/>
    <mergeCell ref="F57:H57"/>
    <mergeCell ref="B48:B53"/>
    <mergeCell ref="C49:D49"/>
    <mergeCell ref="C50:D50"/>
    <mergeCell ref="C52:D52"/>
    <mergeCell ref="C54:D54"/>
    <mergeCell ref="B69:K69"/>
    <mergeCell ref="C53:D53"/>
    <mergeCell ref="C51:D51"/>
    <mergeCell ref="B70:B71"/>
    <mergeCell ref="C70:D71"/>
    <mergeCell ref="E70:E71"/>
    <mergeCell ref="C48:D48"/>
    <mergeCell ref="C64:D64"/>
    <mergeCell ref="I135:I136"/>
    <mergeCell ref="E135:E136"/>
    <mergeCell ref="J57:J58"/>
    <mergeCell ref="B59:K59"/>
    <mergeCell ref="C62:D62"/>
    <mergeCell ref="B109:K109"/>
    <mergeCell ref="C90:D90"/>
    <mergeCell ref="C100:D100"/>
    <mergeCell ref="C102:D102"/>
    <mergeCell ref="C97:D98"/>
    <mergeCell ref="C93:D93"/>
    <mergeCell ref="B99:K99"/>
    <mergeCell ref="C92:D92"/>
    <mergeCell ref="C101:D101"/>
    <mergeCell ref="B82:K82"/>
    <mergeCell ref="I97:I98"/>
    <mergeCell ref="B96:K96"/>
    <mergeCell ref="K83:K84"/>
    <mergeCell ref="B85:K85"/>
    <mergeCell ref="E83:E84"/>
    <mergeCell ref="B83:B84"/>
    <mergeCell ref="C83:D84"/>
    <mergeCell ref="F83:H83"/>
    <mergeCell ref="C87:D87"/>
    <mergeCell ref="C128:D128"/>
    <mergeCell ref="C127:D127"/>
    <mergeCell ref="F70:H70"/>
    <mergeCell ref="B68:D68"/>
    <mergeCell ref="J70:J71"/>
    <mergeCell ref="C78:D78"/>
    <mergeCell ref="C65:D65"/>
    <mergeCell ref="C66:D66"/>
    <mergeCell ref="B137:K137"/>
    <mergeCell ref="C129:D129"/>
    <mergeCell ref="C130:D130"/>
    <mergeCell ref="C119:D119"/>
    <mergeCell ref="C113:D113"/>
    <mergeCell ref="B113:B118"/>
    <mergeCell ref="C135:D136"/>
    <mergeCell ref="B123:B124"/>
    <mergeCell ref="C123:D124"/>
    <mergeCell ref="E123:E124"/>
    <mergeCell ref="B135:B136"/>
    <mergeCell ref="B134:K134"/>
    <mergeCell ref="F135:H135"/>
    <mergeCell ref="J135:J136"/>
    <mergeCell ref="K135:K136"/>
    <mergeCell ref="C117:D117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rowBreaks count="11" manualBreakCount="11">
    <brk id="16" max="16383" man="1"/>
    <brk id="29" max="16383" man="1"/>
    <brk id="42" max="16383" man="1"/>
    <brk id="54" max="16383" man="1"/>
    <brk id="67" max="23" man="1"/>
    <brk id="80" max="23" man="1"/>
    <brk id="94" max="16383" man="1"/>
    <brk id="107" max="16383" man="1"/>
    <brk id="120" max="16383" man="1"/>
    <brk id="132" max="16383" man="1"/>
    <brk id="1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157"/>
  <sheetViews>
    <sheetView topLeftCell="A16" zoomScale="80" zoomScaleNormal="80" workbookViewId="0">
      <selection activeCell="C22" sqref="C22:J27"/>
    </sheetView>
  </sheetViews>
  <sheetFormatPr defaultColWidth="9.109375" defaultRowHeight="22.05" customHeight="1" x14ac:dyDescent="0.3"/>
  <cols>
    <col min="1" max="1" width="7.109375" style="1" customWidth="1"/>
    <col min="2" max="2" width="7.33203125" style="4" customWidth="1"/>
    <col min="3" max="3" width="9.109375" style="1" customWidth="1"/>
    <col min="4" max="4" width="42.44140625" style="1" customWidth="1"/>
    <col min="5" max="5" width="9.109375" style="1" customWidth="1"/>
    <col min="6" max="6" width="9" style="1" customWidth="1"/>
    <col min="7" max="7" width="9.44140625" style="1" customWidth="1"/>
    <col min="8" max="8" width="12.5546875" style="1" customWidth="1"/>
    <col min="9" max="9" width="12" style="1" customWidth="1"/>
    <col min="10" max="10" width="16.5546875" style="1" customWidth="1"/>
    <col min="11" max="11" width="12.5546875" style="131" hidden="1" customWidth="1"/>
    <col min="12" max="12" width="2.109375" style="131" customWidth="1"/>
    <col min="13" max="14" width="6.77734375" customWidth="1"/>
    <col min="15" max="15" width="8" customWidth="1"/>
    <col min="16" max="17" width="6.77734375" customWidth="1"/>
    <col min="18" max="18" width="8.21875" customWidth="1"/>
    <col min="19" max="19" width="7.88671875" customWidth="1"/>
    <col min="20" max="20" width="7.6640625" customWidth="1"/>
    <col min="21" max="21" width="7.44140625" customWidth="1"/>
    <col min="22" max="22" width="7.6640625" customWidth="1"/>
    <col min="23" max="25" width="6.77734375" customWidth="1"/>
  </cols>
  <sheetData>
    <row r="1" spans="2:26" ht="22.05" customHeight="1" x14ac:dyDescent="0.3">
      <c r="B1" s="243" t="s">
        <v>102</v>
      </c>
      <c r="C1" s="243"/>
      <c r="D1" s="243"/>
      <c r="E1" s="243"/>
      <c r="F1" s="243"/>
      <c r="G1" s="243"/>
      <c r="H1" s="243"/>
      <c r="I1" s="243"/>
      <c r="J1" s="243"/>
    </row>
    <row r="2" spans="2:26" ht="16.2" customHeight="1" x14ac:dyDescent="0.3">
      <c r="B2" s="248" t="s">
        <v>95</v>
      </c>
      <c r="C2" s="248"/>
      <c r="D2" s="248"/>
      <c r="E2" s="248"/>
      <c r="F2" s="248"/>
      <c r="G2" s="248"/>
      <c r="H2" s="248"/>
      <c r="I2" s="248"/>
      <c r="J2" s="248"/>
    </row>
    <row r="3" spans="2:26" ht="13.8" customHeight="1" x14ac:dyDescent="0.3">
      <c r="B3" s="249" t="s">
        <v>96</v>
      </c>
      <c r="C3" s="249"/>
      <c r="D3" s="249"/>
      <c r="E3" s="249"/>
      <c r="F3" s="249"/>
      <c r="G3" s="249"/>
      <c r="H3" s="249"/>
      <c r="I3" s="249"/>
      <c r="J3" s="249"/>
    </row>
    <row r="4" spans="2:26" ht="22.05" customHeight="1" x14ac:dyDescent="0.3">
      <c r="B4" s="62"/>
      <c r="C4" s="62"/>
      <c r="D4" s="62"/>
      <c r="E4" s="62"/>
      <c r="F4" s="62"/>
      <c r="G4" s="62"/>
      <c r="H4" s="62"/>
      <c r="I4" s="62"/>
      <c r="J4" s="62"/>
    </row>
    <row r="5" spans="2:26" ht="22.05" customHeight="1" x14ac:dyDescent="0.3">
      <c r="B5" s="62"/>
      <c r="C5" s="62"/>
      <c r="D5" s="62"/>
      <c r="E5" s="62"/>
      <c r="F5" s="62"/>
      <c r="G5" s="61"/>
      <c r="H5" s="244" t="s">
        <v>103</v>
      </c>
      <c r="I5" s="244"/>
      <c r="J5" s="244"/>
    </row>
    <row r="6" spans="2:26" ht="22.05" customHeight="1" x14ac:dyDescent="0.3">
      <c r="B6" s="62"/>
      <c r="C6" s="62"/>
      <c r="D6" s="62"/>
      <c r="E6" s="62"/>
      <c r="F6" s="62"/>
      <c r="G6" s="244" t="s">
        <v>183</v>
      </c>
      <c r="H6" s="244"/>
      <c r="I6" s="244"/>
      <c r="J6" s="244"/>
      <c r="K6" s="132"/>
      <c r="L6" s="132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2:26" ht="22.05" customHeight="1" x14ac:dyDescent="0.3">
      <c r="B7" s="62"/>
      <c r="C7" s="62"/>
      <c r="D7" s="62"/>
      <c r="E7" s="62"/>
      <c r="F7" s="62"/>
      <c r="G7" s="244" t="s">
        <v>181</v>
      </c>
      <c r="H7" s="244"/>
      <c r="I7" s="244"/>
      <c r="J7" s="244"/>
      <c r="K7" s="132"/>
      <c r="L7" s="132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2:26" ht="22.05" customHeight="1" x14ac:dyDescent="0.3">
      <c r="B8" s="33"/>
      <c r="C8" s="33"/>
      <c r="D8" s="33"/>
      <c r="E8" s="33"/>
      <c r="F8" s="33"/>
      <c r="G8" s="245" t="s">
        <v>184</v>
      </c>
      <c r="H8" s="245"/>
      <c r="I8" s="245"/>
      <c r="J8" s="245"/>
      <c r="K8" s="132"/>
      <c r="L8" s="132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2:26" ht="22.05" customHeight="1" x14ac:dyDescent="0.3">
      <c r="B9" s="33"/>
      <c r="C9" s="33"/>
      <c r="D9" s="33"/>
      <c r="E9" s="33"/>
      <c r="F9" s="33"/>
      <c r="G9" s="33"/>
      <c r="H9" s="33"/>
      <c r="I9" s="33"/>
      <c r="J9" s="33"/>
      <c r="K9" s="132"/>
      <c r="L9" s="132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2:26" ht="22.05" customHeight="1" x14ac:dyDescent="0.45">
      <c r="B10" s="32"/>
      <c r="C10" s="32"/>
      <c r="D10" s="32"/>
      <c r="E10" s="32"/>
      <c r="F10" s="32"/>
      <c r="G10" s="32"/>
      <c r="H10" s="32"/>
      <c r="I10" s="32"/>
      <c r="J10" s="29"/>
      <c r="K10" s="132"/>
      <c r="L10" s="132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26" ht="22.05" customHeight="1" x14ac:dyDescent="0.45">
      <c r="B11" s="32"/>
      <c r="C11" s="32"/>
      <c r="D11" s="32"/>
      <c r="E11" s="32"/>
      <c r="F11" s="32"/>
      <c r="G11" s="32"/>
      <c r="H11" s="32"/>
      <c r="I11" s="32"/>
      <c r="J11" s="29"/>
      <c r="K11" s="132"/>
      <c r="L11" s="132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2:26" ht="22.05" customHeight="1" x14ac:dyDescent="0.4">
      <c r="B12" s="250" t="s">
        <v>99</v>
      </c>
      <c r="C12" s="251"/>
      <c r="D12" s="251"/>
      <c r="E12" s="251"/>
      <c r="F12" s="251"/>
      <c r="G12" s="251"/>
      <c r="H12" s="251"/>
      <c r="I12" s="251"/>
      <c r="J12" s="252"/>
      <c r="K12" s="132"/>
      <c r="L12" s="132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2:26" ht="22.05" customHeight="1" x14ac:dyDescent="0.4">
      <c r="B13" s="253" t="s">
        <v>100</v>
      </c>
      <c r="C13" s="254"/>
      <c r="D13" s="254"/>
      <c r="E13" s="254"/>
      <c r="F13" s="254"/>
      <c r="G13" s="254"/>
      <c r="H13" s="254"/>
      <c r="I13" s="254"/>
      <c r="J13" s="255"/>
      <c r="K13" s="132"/>
      <c r="L13" s="132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2:26" ht="22.05" customHeight="1" x14ac:dyDescent="0.4">
      <c r="B14" s="253" t="s">
        <v>94</v>
      </c>
      <c r="C14" s="254"/>
      <c r="D14" s="254"/>
      <c r="E14" s="254"/>
      <c r="F14" s="254"/>
      <c r="G14" s="254"/>
      <c r="H14" s="254"/>
      <c r="I14" s="254"/>
      <c r="J14" s="255"/>
      <c r="K14" s="132"/>
      <c r="L14" s="132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2:26" ht="22.05" customHeight="1" x14ac:dyDescent="0.4">
      <c r="B15" s="256" t="s">
        <v>221</v>
      </c>
      <c r="C15" s="257"/>
      <c r="D15" s="257"/>
      <c r="E15" s="257"/>
      <c r="F15" s="257"/>
      <c r="G15" s="257"/>
      <c r="H15" s="257"/>
      <c r="I15" s="257"/>
      <c r="J15" s="258"/>
      <c r="K15" s="132"/>
      <c r="L15" s="132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6" ht="22.05" customHeight="1" x14ac:dyDescent="0.3">
      <c r="B16" s="2"/>
      <c r="C16" s="2"/>
      <c r="D16" s="3"/>
      <c r="E16" s="186" t="s">
        <v>177</v>
      </c>
      <c r="F16" s="186">
        <v>7.6</v>
      </c>
      <c r="G16" s="186">
        <v>0.9</v>
      </c>
      <c r="H16" s="186">
        <v>37.200000000000003</v>
      </c>
      <c r="I16" s="186">
        <v>191.73</v>
      </c>
      <c r="J16" s="189"/>
      <c r="K16" s="187" t="s">
        <v>166</v>
      </c>
      <c r="L16" s="187"/>
      <c r="M16" s="190">
        <v>0.16400000000000001</v>
      </c>
      <c r="N16" s="190">
        <v>0.10100000000000001</v>
      </c>
      <c r="O16" s="190">
        <v>0</v>
      </c>
      <c r="P16" s="190">
        <v>2.2400000000000002</v>
      </c>
      <c r="Q16" s="190">
        <v>0.08</v>
      </c>
      <c r="R16" s="190">
        <v>189.2</v>
      </c>
      <c r="S16" s="190">
        <v>50</v>
      </c>
      <c r="T16" s="190">
        <v>1.96</v>
      </c>
      <c r="U16" s="190">
        <v>16.399999999999999</v>
      </c>
      <c r="V16" s="190">
        <v>51.6</v>
      </c>
      <c r="W16" s="190">
        <v>1.44</v>
      </c>
      <c r="X16" s="190">
        <v>0</v>
      </c>
      <c r="Y16" s="190">
        <v>11.52</v>
      </c>
      <c r="Z16" s="19"/>
    </row>
    <row r="17" spans="1:25" s="19" customFormat="1" ht="22.05" customHeight="1" x14ac:dyDescent="0.3">
      <c r="A17" s="17"/>
      <c r="B17" s="246"/>
      <c r="C17" s="246"/>
      <c r="D17" s="246"/>
      <c r="E17" s="186" t="s">
        <v>178</v>
      </c>
      <c r="F17" s="186">
        <v>4.7</v>
      </c>
      <c r="G17" s="186">
        <v>0.7</v>
      </c>
      <c r="H17" s="186">
        <v>49.8</v>
      </c>
      <c r="I17" s="186">
        <v>202</v>
      </c>
      <c r="J17" s="186"/>
      <c r="K17" s="187" t="s">
        <v>167</v>
      </c>
      <c r="L17" s="187"/>
      <c r="M17" s="190">
        <v>0.17</v>
      </c>
      <c r="N17" s="190">
        <v>0.13</v>
      </c>
      <c r="O17" s="190">
        <v>0</v>
      </c>
      <c r="P17" s="190">
        <v>1.52</v>
      </c>
      <c r="Q17" s="190">
        <v>0.16</v>
      </c>
      <c r="R17" s="190">
        <v>241.2</v>
      </c>
      <c r="S17" s="190">
        <v>29.2</v>
      </c>
      <c r="T17" s="190">
        <v>0.48</v>
      </c>
      <c r="U17" s="190">
        <v>16</v>
      </c>
      <c r="V17" s="190">
        <v>50</v>
      </c>
      <c r="W17" s="190">
        <v>1.1299999999999999</v>
      </c>
      <c r="X17" s="190">
        <v>0</v>
      </c>
      <c r="Y17" s="190">
        <v>12.36</v>
      </c>
    </row>
    <row r="18" spans="1:25" s="45" customFormat="1" ht="22.05" customHeight="1" x14ac:dyDescent="0.3">
      <c r="A18" s="20"/>
      <c r="B18" s="225" t="s">
        <v>59</v>
      </c>
      <c r="C18" s="225"/>
      <c r="D18" s="225"/>
      <c r="E18" s="225"/>
      <c r="F18" s="225"/>
      <c r="G18" s="225"/>
      <c r="H18" s="225"/>
      <c r="I18" s="225"/>
      <c r="J18" s="225"/>
      <c r="K18" s="225"/>
      <c r="L18" s="147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</row>
    <row r="19" spans="1:25" s="45" customFormat="1" ht="22.05" customHeight="1" x14ac:dyDescent="0.3">
      <c r="A19" s="20"/>
      <c r="B19" s="231" t="s">
        <v>70</v>
      </c>
      <c r="C19" s="225" t="s">
        <v>1</v>
      </c>
      <c r="D19" s="225"/>
      <c r="E19" s="231" t="s">
        <v>71</v>
      </c>
      <c r="F19" s="225" t="s">
        <v>3</v>
      </c>
      <c r="G19" s="225"/>
      <c r="H19" s="225"/>
      <c r="I19" s="231" t="s">
        <v>142</v>
      </c>
      <c r="J19" s="225" t="s">
        <v>72</v>
      </c>
      <c r="K19" s="225" t="s">
        <v>180</v>
      </c>
      <c r="L19" s="143"/>
      <c r="M19" s="260" t="s">
        <v>156</v>
      </c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</row>
    <row r="20" spans="1:25" s="45" customFormat="1" ht="41.4" customHeight="1" x14ac:dyDescent="0.3">
      <c r="A20" s="20"/>
      <c r="B20" s="231"/>
      <c r="C20" s="225"/>
      <c r="D20" s="225"/>
      <c r="E20" s="231"/>
      <c r="F20" s="213" t="s">
        <v>139</v>
      </c>
      <c r="G20" s="213" t="s">
        <v>140</v>
      </c>
      <c r="H20" s="213" t="s">
        <v>141</v>
      </c>
      <c r="I20" s="231"/>
      <c r="J20" s="225"/>
      <c r="K20" s="225"/>
      <c r="L20" s="144"/>
      <c r="M20" s="262" t="s">
        <v>85</v>
      </c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</row>
    <row r="21" spans="1:25" s="47" customFormat="1" ht="22.05" customHeight="1" x14ac:dyDescent="0.3">
      <c r="A21" s="14"/>
      <c r="B21" s="229" t="s">
        <v>85</v>
      </c>
      <c r="C21" s="229"/>
      <c r="D21" s="229"/>
      <c r="E21" s="229"/>
      <c r="F21" s="229"/>
      <c r="G21" s="229"/>
      <c r="H21" s="229"/>
      <c r="I21" s="229"/>
      <c r="J21" s="229"/>
      <c r="K21" s="229"/>
      <c r="L21" s="141"/>
      <c r="M21" s="83" t="s">
        <v>143</v>
      </c>
      <c r="N21" s="83" t="s">
        <v>144</v>
      </c>
      <c r="O21" s="83" t="s">
        <v>145</v>
      </c>
      <c r="P21" s="83" t="s">
        <v>147</v>
      </c>
      <c r="Q21" s="83" t="s">
        <v>146</v>
      </c>
      <c r="R21" s="83" t="s">
        <v>148</v>
      </c>
      <c r="S21" s="83" t="s">
        <v>149</v>
      </c>
      <c r="T21" s="83" t="s">
        <v>150</v>
      </c>
      <c r="U21" s="83" t="s">
        <v>151</v>
      </c>
      <c r="V21" s="83" t="s">
        <v>152</v>
      </c>
      <c r="W21" s="83" t="s">
        <v>153</v>
      </c>
      <c r="X21" s="83" t="s">
        <v>154</v>
      </c>
      <c r="Y21" s="83" t="s">
        <v>155</v>
      </c>
    </row>
    <row r="22" spans="1:25" s="45" customFormat="1" ht="22.05" customHeight="1" x14ac:dyDescent="0.3">
      <c r="A22" s="20"/>
      <c r="B22" s="230" t="s">
        <v>4</v>
      </c>
      <c r="C22" s="224" t="s">
        <v>214</v>
      </c>
      <c r="D22" s="224"/>
      <c r="E22" s="48">
        <v>100</v>
      </c>
      <c r="F22" s="49">
        <v>0.35</v>
      </c>
      <c r="G22" s="49">
        <v>1.64</v>
      </c>
      <c r="H22" s="49">
        <v>2.04</v>
      </c>
      <c r="I22" s="49">
        <v>23.7</v>
      </c>
      <c r="J22" s="50">
        <v>8</v>
      </c>
      <c r="K22" s="133">
        <v>21.7</v>
      </c>
      <c r="L22" s="133"/>
      <c r="M22" s="82">
        <v>0.03</v>
      </c>
      <c r="N22" s="82">
        <v>0.02</v>
      </c>
      <c r="O22" s="82">
        <v>0</v>
      </c>
      <c r="P22" s="82">
        <v>0.35</v>
      </c>
      <c r="Q22" s="82">
        <v>6.9</v>
      </c>
      <c r="R22" s="82">
        <v>153.83000000000001</v>
      </c>
      <c r="S22" s="82">
        <v>215.5</v>
      </c>
      <c r="T22" s="82">
        <v>14.13</v>
      </c>
      <c r="U22" s="82">
        <v>13.12</v>
      </c>
      <c r="V22" s="82">
        <v>24.19</v>
      </c>
      <c r="W22" s="82">
        <v>0.63</v>
      </c>
      <c r="X22" s="82">
        <v>0</v>
      </c>
      <c r="Y22" s="82">
        <v>0</v>
      </c>
    </row>
    <row r="23" spans="1:25" s="45" customFormat="1" ht="22.05" customHeight="1" x14ac:dyDescent="0.3">
      <c r="A23" s="20"/>
      <c r="B23" s="230"/>
      <c r="C23" s="224" t="s">
        <v>36</v>
      </c>
      <c r="D23" s="224"/>
      <c r="E23" s="48">
        <v>200</v>
      </c>
      <c r="F23" s="49">
        <v>10.199999999999999</v>
      </c>
      <c r="G23" s="49">
        <v>9.4</v>
      </c>
      <c r="H23" s="49">
        <v>40.700000000000003</v>
      </c>
      <c r="I23" s="49">
        <v>288.8</v>
      </c>
      <c r="J23" s="50" t="s">
        <v>209</v>
      </c>
      <c r="K23" s="133"/>
      <c r="L23" s="133"/>
      <c r="M23" s="82">
        <v>0.08</v>
      </c>
      <c r="N23" s="82">
        <v>0.09</v>
      </c>
      <c r="O23" s="82">
        <v>46</v>
      </c>
      <c r="P23" s="82">
        <v>0.6</v>
      </c>
      <c r="Q23" s="82">
        <v>0</v>
      </c>
      <c r="R23" s="82">
        <v>453</v>
      </c>
      <c r="S23" s="82">
        <v>30</v>
      </c>
      <c r="T23" s="82">
        <v>245</v>
      </c>
      <c r="U23" s="82">
        <v>17</v>
      </c>
      <c r="V23" s="82">
        <v>141</v>
      </c>
      <c r="W23" s="82">
        <v>1</v>
      </c>
      <c r="X23" s="82">
        <v>26.7</v>
      </c>
      <c r="Y23" s="82">
        <v>0</v>
      </c>
    </row>
    <row r="24" spans="1:25" s="45" customFormat="1" ht="22.05" customHeight="1" x14ac:dyDescent="0.3">
      <c r="A24" s="20"/>
      <c r="B24" s="230"/>
      <c r="C24" s="224" t="s">
        <v>111</v>
      </c>
      <c r="D24" s="224"/>
      <c r="E24" s="48">
        <v>36</v>
      </c>
      <c r="F24" s="49">
        <f>F147/50*36</f>
        <v>1.2527999999999999</v>
      </c>
      <c r="G24" s="49">
        <f>G147/50*36</f>
        <v>0.23040000000000002</v>
      </c>
      <c r="H24" s="49">
        <f>H147/50*36</f>
        <v>7.7039999999999997</v>
      </c>
      <c r="I24" s="49">
        <f>I147/50*36</f>
        <v>48.319200000000002</v>
      </c>
      <c r="J24" s="48" t="s">
        <v>60</v>
      </c>
      <c r="K24" s="133">
        <v>3.64</v>
      </c>
      <c r="L24" s="133"/>
      <c r="M24" s="82">
        <f>M16/40*36</f>
        <v>0.14760000000000001</v>
      </c>
      <c r="N24" s="82">
        <f t="shared" ref="N24:Y24" si="0">N16/40*36</f>
        <v>9.0900000000000009E-2</v>
      </c>
      <c r="O24" s="82">
        <f t="shared" si="0"/>
        <v>0</v>
      </c>
      <c r="P24" s="82">
        <f t="shared" si="0"/>
        <v>2.0160000000000005</v>
      </c>
      <c r="Q24" s="82">
        <f t="shared" si="0"/>
        <v>7.2000000000000008E-2</v>
      </c>
      <c r="R24" s="82">
        <f t="shared" si="0"/>
        <v>170.27999999999997</v>
      </c>
      <c r="S24" s="82">
        <f t="shared" si="0"/>
        <v>45</v>
      </c>
      <c r="T24" s="82">
        <f t="shared" si="0"/>
        <v>1.764</v>
      </c>
      <c r="U24" s="82">
        <f t="shared" si="0"/>
        <v>14.76</v>
      </c>
      <c r="V24" s="82">
        <f t="shared" si="0"/>
        <v>46.44</v>
      </c>
      <c r="W24" s="82">
        <f t="shared" si="0"/>
        <v>1.2959999999999998</v>
      </c>
      <c r="X24" s="82">
        <f t="shared" si="0"/>
        <v>0</v>
      </c>
      <c r="Y24" s="82">
        <f t="shared" si="0"/>
        <v>10.367999999999999</v>
      </c>
    </row>
    <row r="25" spans="1:25" s="45" customFormat="1" ht="22.05" customHeight="1" x14ac:dyDescent="0.3">
      <c r="A25" s="20"/>
      <c r="B25" s="230"/>
      <c r="C25" s="224" t="s">
        <v>115</v>
      </c>
      <c r="D25" s="224"/>
      <c r="E25" s="48">
        <v>28</v>
      </c>
      <c r="F25" s="49">
        <f>F148/40*28</f>
        <v>0.53200000000000003</v>
      </c>
      <c r="G25" s="49">
        <f>G148/40*28</f>
        <v>0.126</v>
      </c>
      <c r="H25" s="49">
        <f>H148/40*28</f>
        <v>7</v>
      </c>
      <c r="I25" s="49">
        <f>I148/40*28</f>
        <v>34.643000000000001</v>
      </c>
      <c r="J25" s="48" t="s">
        <v>60</v>
      </c>
      <c r="K25" s="133">
        <v>2.64</v>
      </c>
      <c r="L25" s="133"/>
      <c r="M25" s="82">
        <f>M17/40*28</f>
        <v>0.11900000000000001</v>
      </c>
      <c r="N25" s="82">
        <f t="shared" ref="N25:Y25" si="1">N17/40*28</f>
        <v>9.1000000000000011E-2</v>
      </c>
      <c r="O25" s="82">
        <f t="shared" si="1"/>
        <v>0</v>
      </c>
      <c r="P25" s="82">
        <f t="shared" si="1"/>
        <v>1.0640000000000001</v>
      </c>
      <c r="Q25" s="82">
        <f t="shared" si="1"/>
        <v>0.112</v>
      </c>
      <c r="R25" s="82">
        <f t="shared" si="1"/>
        <v>168.83999999999997</v>
      </c>
      <c r="S25" s="82">
        <f t="shared" si="1"/>
        <v>20.439999999999998</v>
      </c>
      <c r="T25" s="82">
        <f t="shared" si="1"/>
        <v>0.33600000000000002</v>
      </c>
      <c r="U25" s="82">
        <f t="shared" si="1"/>
        <v>11.200000000000001</v>
      </c>
      <c r="V25" s="82">
        <f t="shared" si="1"/>
        <v>35</v>
      </c>
      <c r="W25" s="82">
        <f t="shared" si="1"/>
        <v>0.79099999999999993</v>
      </c>
      <c r="X25" s="82">
        <f t="shared" si="1"/>
        <v>0</v>
      </c>
      <c r="Y25" s="82">
        <f t="shared" si="1"/>
        <v>8.6519999999999992</v>
      </c>
    </row>
    <row r="26" spans="1:25" s="45" customFormat="1" ht="22.05" customHeight="1" x14ac:dyDescent="0.3">
      <c r="A26" s="20"/>
      <c r="B26" s="230"/>
      <c r="C26" s="224" t="s">
        <v>185</v>
      </c>
      <c r="D26" s="224"/>
      <c r="E26" s="48">
        <v>200</v>
      </c>
      <c r="F26" s="49">
        <v>4.5999999999999996</v>
      </c>
      <c r="G26" s="49">
        <v>4.3</v>
      </c>
      <c r="H26" s="49">
        <v>12.4</v>
      </c>
      <c r="I26" s="49">
        <v>106.7</v>
      </c>
      <c r="J26" s="50" t="s">
        <v>186</v>
      </c>
      <c r="K26" s="133">
        <v>3.22</v>
      </c>
      <c r="L26" s="133"/>
      <c r="M26" s="82">
        <v>0</v>
      </c>
      <c r="N26" s="82">
        <v>0.2</v>
      </c>
      <c r="O26" s="82">
        <v>15.6</v>
      </c>
      <c r="P26" s="82">
        <v>0.2</v>
      </c>
      <c r="Q26" s="82">
        <v>1</v>
      </c>
      <c r="R26" s="82">
        <v>66</v>
      </c>
      <c r="S26" s="82">
        <v>265</v>
      </c>
      <c r="T26" s="82">
        <v>34</v>
      </c>
      <c r="U26" s="82">
        <v>34</v>
      </c>
      <c r="V26" s="82">
        <v>131</v>
      </c>
      <c r="W26" s="82">
        <v>1</v>
      </c>
      <c r="X26" s="82">
        <v>11.7</v>
      </c>
      <c r="Y26" s="82">
        <v>2.2999999999999998</v>
      </c>
    </row>
    <row r="27" spans="1:25" s="47" customFormat="1" ht="22.05" customHeight="1" x14ac:dyDescent="0.3">
      <c r="A27" s="46"/>
      <c r="B27" s="230"/>
      <c r="C27" s="233" t="s">
        <v>41</v>
      </c>
      <c r="D27" s="234"/>
      <c r="E27" s="51">
        <v>200</v>
      </c>
      <c r="F27" s="52">
        <v>0.41</v>
      </c>
      <c r="G27" s="52">
        <v>0</v>
      </c>
      <c r="H27" s="52">
        <v>22.59</v>
      </c>
      <c r="I27" s="52">
        <v>92</v>
      </c>
      <c r="J27" s="53" t="s">
        <v>60</v>
      </c>
      <c r="K27" s="134">
        <v>36</v>
      </c>
      <c r="L27" s="134"/>
      <c r="M27" s="122">
        <v>0.02</v>
      </c>
      <c r="N27" s="122">
        <v>0.02</v>
      </c>
      <c r="O27" s="122">
        <v>0</v>
      </c>
      <c r="P27" s="122">
        <v>0.04</v>
      </c>
      <c r="Q27" s="122">
        <v>4</v>
      </c>
      <c r="R27" s="122">
        <v>12</v>
      </c>
      <c r="S27" s="122">
        <v>240</v>
      </c>
      <c r="T27" s="122">
        <v>14</v>
      </c>
      <c r="U27" s="122">
        <v>8</v>
      </c>
      <c r="V27" s="122">
        <v>14</v>
      </c>
      <c r="W27" s="122">
        <v>2.8</v>
      </c>
      <c r="X27" s="122">
        <v>2</v>
      </c>
      <c r="Y27" s="122">
        <v>0</v>
      </c>
    </row>
    <row r="28" spans="1:25" s="45" customFormat="1" ht="22.05" customHeight="1" x14ac:dyDescent="0.3">
      <c r="A28" s="20"/>
      <c r="B28" s="42"/>
      <c r="C28" s="228" t="s">
        <v>105</v>
      </c>
      <c r="D28" s="228"/>
      <c r="E28" s="44">
        <f>SUM(E22:E27)</f>
        <v>764</v>
      </c>
      <c r="F28" s="55">
        <f>SUM(F22:F27)</f>
        <v>17.344799999999999</v>
      </c>
      <c r="G28" s="55">
        <f>SUM(G22:G27)</f>
        <v>15.696400000000001</v>
      </c>
      <c r="H28" s="55">
        <f>SUM(H22:H27)</f>
        <v>92.434000000000012</v>
      </c>
      <c r="I28" s="55">
        <f>SUM(I22:I27)</f>
        <v>594.16219999999998</v>
      </c>
      <c r="J28" s="54"/>
      <c r="K28" s="55">
        <f>SUM(K22:K27)</f>
        <v>67.2</v>
      </c>
      <c r="L28" s="133"/>
      <c r="M28" s="102">
        <f t="shared" ref="M28:Y28" si="2">SUM(M22:M27)</f>
        <v>0.39660000000000001</v>
      </c>
      <c r="N28" s="102">
        <f t="shared" si="2"/>
        <v>0.51190000000000002</v>
      </c>
      <c r="O28" s="102">
        <f t="shared" si="2"/>
        <v>61.6</v>
      </c>
      <c r="P28" s="102">
        <f t="shared" si="2"/>
        <v>4.2700000000000005</v>
      </c>
      <c r="Q28" s="102">
        <f t="shared" si="2"/>
        <v>12.084</v>
      </c>
      <c r="R28" s="102">
        <f t="shared" si="2"/>
        <v>1023.95</v>
      </c>
      <c r="S28" s="102">
        <f t="shared" si="2"/>
        <v>815.94</v>
      </c>
      <c r="T28" s="102">
        <f t="shared" si="2"/>
        <v>309.23</v>
      </c>
      <c r="U28" s="102">
        <f t="shared" si="2"/>
        <v>98.08</v>
      </c>
      <c r="V28" s="102">
        <f t="shared" si="2"/>
        <v>391.63</v>
      </c>
      <c r="W28" s="102">
        <f t="shared" si="2"/>
        <v>7.5169999999999995</v>
      </c>
      <c r="X28" s="102">
        <f t="shared" si="2"/>
        <v>40.4</v>
      </c>
      <c r="Y28" s="102">
        <f t="shared" si="2"/>
        <v>21.319999999999997</v>
      </c>
    </row>
    <row r="29" spans="1:25" s="47" customFormat="1" ht="22.05" customHeight="1" x14ac:dyDescent="0.3">
      <c r="A29" s="14"/>
      <c r="B29" s="35"/>
      <c r="C29" s="86"/>
      <c r="D29" s="86"/>
      <c r="E29" s="14"/>
      <c r="F29" s="36"/>
      <c r="G29" s="36"/>
      <c r="H29" s="36"/>
      <c r="I29" s="36"/>
      <c r="J29" s="14"/>
      <c r="K29" s="61"/>
      <c r="L29" s="61"/>
    </row>
    <row r="30" spans="1:25" s="47" customFormat="1" ht="22.05" customHeight="1" x14ac:dyDescent="0.3">
      <c r="A30" s="14"/>
      <c r="B30" s="35"/>
      <c r="C30" s="247"/>
      <c r="D30" s="247"/>
      <c r="E30" s="36"/>
      <c r="F30" s="36"/>
      <c r="G30" s="36"/>
      <c r="H30" s="36"/>
      <c r="I30" s="36"/>
      <c r="J30" s="14"/>
      <c r="K30" s="61"/>
      <c r="L30" s="61"/>
    </row>
    <row r="31" spans="1:25" s="45" customFormat="1" ht="22.05" customHeight="1" x14ac:dyDescent="0.3">
      <c r="A31" s="20"/>
      <c r="B31" s="225" t="s">
        <v>59</v>
      </c>
      <c r="C31" s="225"/>
      <c r="D31" s="225"/>
      <c r="E31" s="225"/>
      <c r="F31" s="225"/>
      <c r="G31" s="225"/>
      <c r="H31" s="225"/>
      <c r="I31" s="225"/>
      <c r="J31" s="225"/>
      <c r="K31" s="225"/>
      <c r="L31" s="147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</row>
    <row r="32" spans="1:25" s="45" customFormat="1" ht="22.05" customHeight="1" x14ac:dyDescent="0.3">
      <c r="A32" s="20"/>
      <c r="B32" s="231" t="s">
        <v>70</v>
      </c>
      <c r="C32" s="225" t="s">
        <v>1</v>
      </c>
      <c r="D32" s="225"/>
      <c r="E32" s="231" t="s">
        <v>71</v>
      </c>
      <c r="F32" s="225" t="s">
        <v>3</v>
      </c>
      <c r="G32" s="225"/>
      <c r="H32" s="225"/>
      <c r="I32" s="231" t="s">
        <v>142</v>
      </c>
      <c r="J32" s="225" t="s">
        <v>72</v>
      </c>
      <c r="K32" s="225" t="s">
        <v>180</v>
      </c>
      <c r="L32" s="143"/>
      <c r="M32" s="260" t="s">
        <v>156</v>
      </c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</row>
    <row r="33" spans="1:25" s="45" customFormat="1" ht="37.799999999999997" customHeight="1" x14ac:dyDescent="0.3">
      <c r="A33" s="20"/>
      <c r="B33" s="231"/>
      <c r="C33" s="225"/>
      <c r="D33" s="225"/>
      <c r="E33" s="231"/>
      <c r="F33" s="213" t="s">
        <v>139</v>
      </c>
      <c r="G33" s="213" t="s">
        <v>140</v>
      </c>
      <c r="H33" s="213" t="s">
        <v>141</v>
      </c>
      <c r="I33" s="231"/>
      <c r="J33" s="225"/>
      <c r="K33" s="225"/>
      <c r="L33" s="144"/>
      <c r="M33" s="262" t="s">
        <v>73</v>
      </c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</row>
    <row r="34" spans="1:25" s="47" customFormat="1" ht="22.05" customHeight="1" x14ac:dyDescent="0.3">
      <c r="A34" s="14"/>
      <c r="B34" s="229" t="s">
        <v>73</v>
      </c>
      <c r="C34" s="229"/>
      <c r="D34" s="229"/>
      <c r="E34" s="229"/>
      <c r="F34" s="229"/>
      <c r="G34" s="229"/>
      <c r="H34" s="229"/>
      <c r="I34" s="229"/>
      <c r="J34" s="229"/>
      <c r="K34" s="229"/>
      <c r="L34" s="141"/>
      <c r="M34" s="83" t="s">
        <v>143</v>
      </c>
      <c r="N34" s="83" t="s">
        <v>144</v>
      </c>
      <c r="O34" s="83" t="s">
        <v>145</v>
      </c>
      <c r="P34" s="83" t="s">
        <v>147</v>
      </c>
      <c r="Q34" s="83" t="s">
        <v>146</v>
      </c>
      <c r="R34" s="83" t="s">
        <v>148</v>
      </c>
      <c r="S34" s="83" t="s">
        <v>149</v>
      </c>
      <c r="T34" s="83" t="s">
        <v>150</v>
      </c>
      <c r="U34" s="83" t="s">
        <v>151</v>
      </c>
      <c r="V34" s="83" t="s">
        <v>152</v>
      </c>
      <c r="W34" s="83" t="s">
        <v>153</v>
      </c>
      <c r="X34" s="83" t="s">
        <v>154</v>
      </c>
      <c r="Y34" s="83" t="s">
        <v>155</v>
      </c>
    </row>
    <row r="35" spans="1:25" s="20" customFormat="1" ht="22.05" customHeight="1" x14ac:dyDescent="0.3">
      <c r="B35" s="230" t="s">
        <v>4</v>
      </c>
      <c r="C35" s="224" t="s">
        <v>194</v>
      </c>
      <c r="D35" s="224"/>
      <c r="E35" s="48">
        <v>60</v>
      </c>
      <c r="F35" s="49">
        <v>1.8</v>
      </c>
      <c r="G35" s="49">
        <v>0.2</v>
      </c>
      <c r="H35" s="49">
        <v>3.6</v>
      </c>
      <c r="I35" s="49">
        <v>22.2</v>
      </c>
      <c r="J35" s="50" t="s">
        <v>195</v>
      </c>
      <c r="K35" s="133">
        <v>27.88</v>
      </c>
      <c r="L35" s="133"/>
      <c r="M35" s="123">
        <v>0.04</v>
      </c>
      <c r="N35" s="123">
        <v>7.0000000000000007E-2</v>
      </c>
      <c r="O35" s="123">
        <v>1.8</v>
      </c>
      <c r="P35" s="123">
        <v>1</v>
      </c>
      <c r="Q35" s="123">
        <v>2.8</v>
      </c>
      <c r="R35" s="123">
        <v>439.2</v>
      </c>
      <c r="S35" s="123">
        <v>162.69999999999999</v>
      </c>
      <c r="T35" s="123">
        <v>53.3</v>
      </c>
      <c r="U35" s="123">
        <v>16.2</v>
      </c>
      <c r="V35" s="123">
        <v>51.5</v>
      </c>
      <c r="W35" s="123">
        <v>0.5</v>
      </c>
      <c r="X35" s="123">
        <v>0</v>
      </c>
      <c r="Y35" s="123">
        <v>0.7</v>
      </c>
    </row>
    <row r="36" spans="1:25" s="45" customFormat="1" ht="22.05" customHeight="1" x14ac:dyDescent="0.3">
      <c r="A36" s="20"/>
      <c r="B36" s="230"/>
      <c r="C36" s="224" t="s">
        <v>10</v>
      </c>
      <c r="D36" s="224"/>
      <c r="E36" s="48">
        <v>230</v>
      </c>
      <c r="F36" s="49">
        <v>10.7</v>
      </c>
      <c r="G36" s="49">
        <v>8.6</v>
      </c>
      <c r="H36" s="49">
        <v>56.4</v>
      </c>
      <c r="I36" s="49">
        <v>345.5</v>
      </c>
      <c r="J36" s="50" t="s">
        <v>62</v>
      </c>
      <c r="K36" s="133">
        <v>14.27</v>
      </c>
      <c r="L36" s="133"/>
      <c r="M36" s="82">
        <v>0.3</v>
      </c>
      <c r="N36" s="82">
        <v>0.2</v>
      </c>
      <c r="O36" s="82">
        <v>42.2</v>
      </c>
      <c r="P36" s="82">
        <v>6.1</v>
      </c>
      <c r="Q36" s="82">
        <v>0</v>
      </c>
      <c r="R36" s="82">
        <v>228.5</v>
      </c>
      <c r="S36" s="82">
        <v>335.8</v>
      </c>
      <c r="T36" s="82">
        <v>21.5</v>
      </c>
      <c r="U36" s="82">
        <v>184</v>
      </c>
      <c r="V36" s="82">
        <v>276</v>
      </c>
      <c r="W36" s="82">
        <v>6.1</v>
      </c>
      <c r="X36" s="82">
        <v>34.200000000000003</v>
      </c>
      <c r="Y36" s="82">
        <v>5.4</v>
      </c>
    </row>
    <row r="37" spans="1:25" s="45" customFormat="1" ht="22.05" customHeight="1" x14ac:dyDescent="0.3">
      <c r="A37" s="20"/>
      <c r="B37" s="230"/>
      <c r="C37" s="224" t="s">
        <v>157</v>
      </c>
      <c r="D37" s="224"/>
      <c r="E37" s="48">
        <v>120</v>
      </c>
      <c r="F37" s="49">
        <v>16.899999999999999</v>
      </c>
      <c r="G37" s="49">
        <v>7.6</v>
      </c>
      <c r="H37" s="49">
        <v>5.3</v>
      </c>
      <c r="I37" s="49">
        <v>157.69</v>
      </c>
      <c r="J37" s="50" t="s">
        <v>163</v>
      </c>
      <c r="K37" s="133">
        <v>40.92</v>
      </c>
      <c r="L37" s="133"/>
      <c r="M37" s="82">
        <v>0.05</v>
      </c>
      <c r="N37" s="82">
        <v>0.06</v>
      </c>
      <c r="O37" s="82">
        <v>349.2</v>
      </c>
      <c r="P37" s="82">
        <v>4.75</v>
      </c>
      <c r="Q37" s="82">
        <v>1.6</v>
      </c>
      <c r="R37" s="82">
        <v>297.60000000000002</v>
      </c>
      <c r="S37" s="82">
        <v>249.6</v>
      </c>
      <c r="T37" s="82">
        <v>26.4</v>
      </c>
      <c r="U37" s="82">
        <v>64.8</v>
      </c>
      <c r="V37" s="82">
        <v>134.4</v>
      </c>
      <c r="W37" s="82">
        <v>1.2</v>
      </c>
      <c r="X37" s="82">
        <v>42</v>
      </c>
      <c r="Y37" s="82">
        <v>14.4</v>
      </c>
    </row>
    <row r="38" spans="1:25" s="45" customFormat="1" ht="22.05" customHeight="1" x14ac:dyDescent="0.3">
      <c r="A38" s="20"/>
      <c r="B38" s="230"/>
      <c r="C38" s="224" t="s">
        <v>111</v>
      </c>
      <c r="D38" s="224"/>
      <c r="E38" s="48">
        <v>50</v>
      </c>
      <c r="F38" s="49">
        <v>1.74</v>
      </c>
      <c r="G38" s="49">
        <v>0.32</v>
      </c>
      <c r="H38" s="49">
        <v>10.7</v>
      </c>
      <c r="I38" s="49">
        <v>67.11</v>
      </c>
      <c r="J38" s="48" t="s">
        <v>60</v>
      </c>
      <c r="K38" s="133">
        <v>3.64</v>
      </c>
      <c r="L38" s="133"/>
      <c r="M38" s="82">
        <f>M16/40*50</f>
        <v>0.20500000000000002</v>
      </c>
      <c r="N38" s="82">
        <f t="shared" ref="N38:Y38" si="3">N16/40*50</f>
        <v>0.12625000000000003</v>
      </c>
      <c r="O38" s="82">
        <f t="shared" si="3"/>
        <v>0</v>
      </c>
      <c r="P38" s="82">
        <f t="shared" si="3"/>
        <v>2.8000000000000003</v>
      </c>
      <c r="Q38" s="82">
        <f t="shared" si="3"/>
        <v>0.1</v>
      </c>
      <c r="R38" s="82">
        <f t="shared" si="3"/>
        <v>236.49999999999997</v>
      </c>
      <c r="S38" s="82">
        <f t="shared" si="3"/>
        <v>62.5</v>
      </c>
      <c r="T38" s="82">
        <f t="shared" si="3"/>
        <v>2.4500000000000002</v>
      </c>
      <c r="U38" s="82">
        <f t="shared" si="3"/>
        <v>20.5</v>
      </c>
      <c r="V38" s="82">
        <f t="shared" si="3"/>
        <v>64.5</v>
      </c>
      <c r="W38" s="82">
        <f t="shared" si="3"/>
        <v>1.7999999999999998</v>
      </c>
      <c r="X38" s="82">
        <f t="shared" si="3"/>
        <v>0</v>
      </c>
      <c r="Y38" s="82">
        <f t="shared" si="3"/>
        <v>14.399999999999999</v>
      </c>
    </row>
    <row r="39" spans="1:25" s="45" customFormat="1" ht="22.05" customHeight="1" x14ac:dyDescent="0.3">
      <c r="A39" s="20"/>
      <c r="B39" s="230"/>
      <c r="C39" s="224" t="s">
        <v>108</v>
      </c>
      <c r="D39" s="224"/>
      <c r="E39" s="48">
        <v>29</v>
      </c>
      <c r="F39" s="49">
        <f>F148/40*29</f>
        <v>0.55099999999999993</v>
      </c>
      <c r="G39" s="49">
        <f>G148/40*29</f>
        <v>0.13049999999999998</v>
      </c>
      <c r="H39" s="49">
        <f>H148/40*29</f>
        <v>7.25</v>
      </c>
      <c r="I39" s="49">
        <f>I148/40*29</f>
        <v>35.880249999999997</v>
      </c>
      <c r="J39" s="48" t="s">
        <v>60</v>
      </c>
      <c r="K39" s="133">
        <v>3.64</v>
      </c>
      <c r="L39" s="133"/>
      <c r="M39" s="82">
        <f>M17/40*29</f>
        <v>0.12325000000000001</v>
      </c>
      <c r="N39" s="82">
        <f t="shared" ref="N39:Y39" si="4">N17/40*29</f>
        <v>9.4250000000000014E-2</v>
      </c>
      <c r="O39" s="82">
        <f t="shared" si="4"/>
        <v>0</v>
      </c>
      <c r="P39" s="82">
        <f t="shared" si="4"/>
        <v>1.1019999999999999</v>
      </c>
      <c r="Q39" s="82">
        <f t="shared" si="4"/>
        <v>0.11600000000000001</v>
      </c>
      <c r="R39" s="82">
        <f t="shared" si="4"/>
        <v>174.86999999999998</v>
      </c>
      <c r="S39" s="82">
        <f t="shared" si="4"/>
        <v>21.169999999999998</v>
      </c>
      <c r="T39" s="82">
        <f t="shared" si="4"/>
        <v>0.34800000000000003</v>
      </c>
      <c r="U39" s="82">
        <f t="shared" si="4"/>
        <v>11.600000000000001</v>
      </c>
      <c r="V39" s="82">
        <f t="shared" si="4"/>
        <v>36.25</v>
      </c>
      <c r="W39" s="82">
        <f t="shared" si="4"/>
        <v>0.81924999999999992</v>
      </c>
      <c r="X39" s="82">
        <f t="shared" si="4"/>
        <v>0</v>
      </c>
      <c r="Y39" s="82">
        <f t="shared" si="4"/>
        <v>8.9610000000000003</v>
      </c>
    </row>
    <row r="40" spans="1:25" s="45" customFormat="1" ht="22.05" customHeight="1" x14ac:dyDescent="0.3">
      <c r="A40" s="20"/>
      <c r="B40" s="230"/>
      <c r="C40" s="224" t="s">
        <v>219</v>
      </c>
      <c r="D40" s="224"/>
      <c r="E40" s="48">
        <v>200</v>
      </c>
      <c r="F40" s="49">
        <v>0.2</v>
      </c>
      <c r="G40" s="49">
        <v>0.1</v>
      </c>
      <c r="H40" s="49">
        <v>12.5</v>
      </c>
      <c r="I40" s="49">
        <v>51.5</v>
      </c>
      <c r="J40" s="50" t="s">
        <v>158</v>
      </c>
      <c r="K40" s="133">
        <v>18.21</v>
      </c>
      <c r="L40" s="133"/>
      <c r="M40" s="82">
        <v>0.02</v>
      </c>
      <c r="N40" s="82">
        <v>0</v>
      </c>
      <c r="O40" s="82">
        <v>0.2</v>
      </c>
      <c r="P40" s="82">
        <v>0.1</v>
      </c>
      <c r="Q40" s="82">
        <v>1</v>
      </c>
      <c r="R40" s="82">
        <v>2</v>
      </c>
      <c r="S40" s="82">
        <v>23</v>
      </c>
      <c r="T40" s="82">
        <v>7</v>
      </c>
      <c r="U40" s="82">
        <v>1</v>
      </c>
      <c r="V40" s="82">
        <v>7</v>
      </c>
      <c r="W40" s="82">
        <v>0</v>
      </c>
      <c r="X40" s="82">
        <v>0</v>
      </c>
      <c r="Y40" s="82">
        <v>0</v>
      </c>
    </row>
    <row r="41" spans="1:25" s="45" customFormat="1" ht="22.05" customHeight="1" x14ac:dyDescent="0.3">
      <c r="A41" s="20"/>
      <c r="B41" s="42"/>
      <c r="C41" s="228" t="s">
        <v>105</v>
      </c>
      <c r="D41" s="228"/>
      <c r="E41" s="44">
        <f>SUM(E35:E40)</f>
        <v>689</v>
      </c>
      <c r="F41" s="55">
        <f>SUM(F35:F40)</f>
        <v>31.890999999999995</v>
      </c>
      <c r="G41" s="55">
        <f>SUM(G35:G40)</f>
        <v>16.950500000000002</v>
      </c>
      <c r="H41" s="55">
        <f>SUM(H35:H40)</f>
        <v>95.75</v>
      </c>
      <c r="I41" s="55">
        <f>SUM(I35:I40)</f>
        <v>679.88025000000005</v>
      </c>
      <c r="J41" s="54"/>
      <c r="K41" s="55">
        <f>SUM(K35:K40)</f>
        <v>108.56</v>
      </c>
      <c r="L41" s="133"/>
      <c r="M41" s="102">
        <f t="shared" ref="M41:Y41" si="5">SUM(M35:M40)</f>
        <v>0.73824999999999996</v>
      </c>
      <c r="N41" s="102">
        <f t="shared" si="5"/>
        <v>0.5505000000000001</v>
      </c>
      <c r="O41" s="102">
        <f t="shared" si="5"/>
        <v>393.4</v>
      </c>
      <c r="P41" s="102">
        <f t="shared" si="5"/>
        <v>15.852</v>
      </c>
      <c r="Q41" s="102">
        <f t="shared" si="5"/>
        <v>5.6159999999999997</v>
      </c>
      <c r="R41" s="102">
        <f t="shared" si="5"/>
        <v>1378.6699999999998</v>
      </c>
      <c r="S41" s="102">
        <f t="shared" si="5"/>
        <v>854.77</v>
      </c>
      <c r="T41" s="102">
        <f t="shared" si="5"/>
        <v>110.99799999999999</v>
      </c>
      <c r="U41" s="102">
        <f t="shared" si="5"/>
        <v>298.10000000000002</v>
      </c>
      <c r="V41" s="102">
        <f t="shared" si="5"/>
        <v>569.65</v>
      </c>
      <c r="W41" s="102">
        <f t="shared" si="5"/>
        <v>10.41925</v>
      </c>
      <c r="X41" s="102">
        <f t="shared" si="5"/>
        <v>76.2</v>
      </c>
      <c r="Y41" s="102">
        <f t="shared" si="5"/>
        <v>43.860999999999997</v>
      </c>
    </row>
    <row r="42" spans="1:25" s="113" customFormat="1" ht="22.05" customHeight="1" x14ac:dyDescent="0.3">
      <c r="A42" s="20"/>
      <c r="B42" s="38"/>
      <c r="C42" s="39"/>
      <c r="D42" s="39"/>
      <c r="E42" s="179"/>
      <c r="F42" s="91"/>
      <c r="G42" s="91"/>
      <c r="H42" s="91"/>
      <c r="I42" s="91"/>
      <c r="J42" s="63"/>
      <c r="K42" s="91"/>
      <c r="L42" s="91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</row>
    <row r="43" spans="1:25" s="47" customFormat="1" ht="22.05" customHeight="1" x14ac:dyDescent="0.3">
      <c r="A43" s="14"/>
      <c r="B43" s="35"/>
      <c r="C43" s="86"/>
      <c r="D43" s="86"/>
      <c r="E43" s="14"/>
      <c r="F43" s="36"/>
      <c r="G43" s="36"/>
      <c r="H43" s="36"/>
      <c r="I43" s="36"/>
      <c r="J43" s="14"/>
      <c r="K43" s="61"/>
      <c r="L43" s="61"/>
    </row>
    <row r="44" spans="1:25" s="45" customFormat="1" ht="22.05" customHeight="1" x14ac:dyDescent="0.3">
      <c r="A44" s="20"/>
      <c r="B44" s="225" t="s">
        <v>59</v>
      </c>
      <c r="C44" s="225"/>
      <c r="D44" s="225"/>
      <c r="E44" s="225"/>
      <c r="F44" s="225"/>
      <c r="G44" s="225"/>
      <c r="H44" s="225"/>
      <c r="I44" s="225"/>
      <c r="J44" s="225"/>
      <c r="K44" s="225"/>
      <c r="L44" s="147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0"/>
    </row>
    <row r="45" spans="1:25" s="45" customFormat="1" ht="22.05" customHeight="1" x14ac:dyDescent="0.3">
      <c r="A45" s="20"/>
      <c r="B45" s="231" t="s">
        <v>70</v>
      </c>
      <c r="C45" s="225" t="s">
        <v>1</v>
      </c>
      <c r="D45" s="225"/>
      <c r="E45" s="231" t="s">
        <v>71</v>
      </c>
      <c r="F45" s="225" t="s">
        <v>3</v>
      </c>
      <c r="G45" s="225"/>
      <c r="H45" s="225"/>
      <c r="I45" s="231" t="s">
        <v>142</v>
      </c>
      <c r="J45" s="225" t="s">
        <v>72</v>
      </c>
      <c r="K45" s="225" t="s">
        <v>180</v>
      </c>
      <c r="L45" s="143"/>
      <c r="M45" s="260" t="s">
        <v>156</v>
      </c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</row>
    <row r="46" spans="1:25" s="45" customFormat="1" ht="43.8" customHeight="1" x14ac:dyDescent="0.3">
      <c r="A46" s="20"/>
      <c r="B46" s="231"/>
      <c r="C46" s="225"/>
      <c r="D46" s="225"/>
      <c r="E46" s="231"/>
      <c r="F46" s="213" t="s">
        <v>139</v>
      </c>
      <c r="G46" s="213" t="s">
        <v>140</v>
      </c>
      <c r="H46" s="213" t="s">
        <v>141</v>
      </c>
      <c r="I46" s="231"/>
      <c r="J46" s="225"/>
      <c r="K46" s="225"/>
      <c r="L46" s="144"/>
      <c r="M46" s="262" t="s">
        <v>86</v>
      </c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</row>
    <row r="47" spans="1:25" s="45" customFormat="1" ht="22.05" customHeight="1" x14ac:dyDescent="0.3">
      <c r="A47" s="20"/>
      <c r="B47" s="229" t="s">
        <v>86</v>
      </c>
      <c r="C47" s="229"/>
      <c r="D47" s="229"/>
      <c r="E47" s="229"/>
      <c r="F47" s="229"/>
      <c r="G47" s="229"/>
      <c r="H47" s="229"/>
      <c r="I47" s="229"/>
      <c r="J47" s="229"/>
      <c r="K47" s="229"/>
      <c r="L47" s="141"/>
      <c r="M47" s="81" t="s">
        <v>143</v>
      </c>
      <c r="N47" s="81" t="s">
        <v>144</v>
      </c>
      <c r="O47" s="81" t="s">
        <v>145</v>
      </c>
      <c r="P47" s="81" t="s">
        <v>147</v>
      </c>
      <c r="Q47" s="81" t="s">
        <v>146</v>
      </c>
      <c r="R47" s="81" t="s">
        <v>148</v>
      </c>
      <c r="S47" s="81" t="s">
        <v>149</v>
      </c>
      <c r="T47" s="81" t="s">
        <v>150</v>
      </c>
      <c r="U47" s="81" t="s">
        <v>151</v>
      </c>
      <c r="V47" s="81" t="s">
        <v>152</v>
      </c>
      <c r="W47" s="81" t="s">
        <v>153</v>
      </c>
      <c r="X47" s="81" t="s">
        <v>154</v>
      </c>
      <c r="Y47" s="81" t="s">
        <v>155</v>
      </c>
    </row>
    <row r="48" spans="1:25" s="113" customFormat="1" ht="22.05" customHeight="1" x14ac:dyDescent="0.3">
      <c r="A48" s="20"/>
      <c r="B48" s="230" t="s">
        <v>4</v>
      </c>
      <c r="C48" s="232" t="s">
        <v>196</v>
      </c>
      <c r="D48" s="232"/>
      <c r="E48" s="48">
        <v>80</v>
      </c>
      <c r="F48" s="49">
        <v>0.39</v>
      </c>
      <c r="G48" s="49">
        <v>3.08</v>
      </c>
      <c r="H48" s="49">
        <v>2.23</v>
      </c>
      <c r="I48" s="49">
        <v>37.869999999999997</v>
      </c>
      <c r="J48" s="50" t="s">
        <v>197</v>
      </c>
      <c r="K48" s="133">
        <v>20.61</v>
      </c>
      <c r="L48" s="133"/>
      <c r="M48" s="112">
        <v>0.05</v>
      </c>
      <c r="N48" s="112">
        <v>0.05</v>
      </c>
      <c r="O48" s="112">
        <v>114.49</v>
      </c>
      <c r="P48" s="112">
        <v>0.36</v>
      </c>
      <c r="Q48" s="112">
        <v>19.559999999999999</v>
      </c>
      <c r="R48" s="112">
        <v>165.33</v>
      </c>
      <c r="S48" s="112">
        <v>236.44</v>
      </c>
      <c r="T48" s="112">
        <v>33.770000000000003</v>
      </c>
      <c r="U48" s="112">
        <v>17.77</v>
      </c>
      <c r="V48" s="112">
        <v>32</v>
      </c>
      <c r="W48" s="112">
        <v>0</v>
      </c>
      <c r="X48" s="112">
        <v>16.53</v>
      </c>
      <c r="Y48" s="112">
        <v>0.36</v>
      </c>
    </row>
    <row r="49" spans="1:25" s="45" customFormat="1" ht="22.05" customHeight="1" x14ac:dyDescent="0.3">
      <c r="A49" s="20"/>
      <c r="B49" s="230"/>
      <c r="C49" s="232" t="s">
        <v>29</v>
      </c>
      <c r="D49" s="232"/>
      <c r="E49" s="48">
        <v>200</v>
      </c>
      <c r="F49" s="49">
        <v>4.8</v>
      </c>
      <c r="G49" s="49">
        <v>7</v>
      </c>
      <c r="H49" s="49">
        <v>50.7</v>
      </c>
      <c r="I49" s="49">
        <v>284.7</v>
      </c>
      <c r="J49" s="50" t="s">
        <v>28</v>
      </c>
      <c r="K49" s="133">
        <v>15.4</v>
      </c>
      <c r="L49" s="133"/>
      <c r="M49" s="82">
        <v>0.04</v>
      </c>
      <c r="N49" s="82">
        <v>0.02</v>
      </c>
      <c r="O49" s="82">
        <v>27</v>
      </c>
      <c r="P49" s="82">
        <v>0.9</v>
      </c>
      <c r="Q49" s="82">
        <v>0</v>
      </c>
      <c r="R49" s="82">
        <v>275</v>
      </c>
      <c r="S49" s="82">
        <v>41</v>
      </c>
      <c r="T49" s="82">
        <v>20</v>
      </c>
      <c r="U49" s="82">
        <v>14</v>
      </c>
      <c r="V49" s="82">
        <v>62</v>
      </c>
      <c r="W49" s="82">
        <v>1</v>
      </c>
      <c r="X49" s="82">
        <v>26.7</v>
      </c>
      <c r="Y49" s="82">
        <v>9.6999999999999993</v>
      </c>
    </row>
    <row r="50" spans="1:25" s="45" customFormat="1" ht="22.05" customHeight="1" x14ac:dyDescent="0.3">
      <c r="A50" s="20"/>
      <c r="B50" s="230"/>
      <c r="C50" s="224" t="s">
        <v>160</v>
      </c>
      <c r="D50" s="224"/>
      <c r="E50" s="48">
        <v>100</v>
      </c>
      <c r="F50" s="49">
        <v>11.6</v>
      </c>
      <c r="G50" s="49">
        <v>6.1</v>
      </c>
      <c r="H50" s="49">
        <v>5.3</v>
      </c>
      <c r="I50" s="49">
        <v>122.3</v>
      </c>
      <c r="J50" s="50" t="s">
        <v>51</v>
      </c>
      <c r="K50" s="133">
        <v>42.96</v>
      </c>
      <c r="L50" s="133"/>
      <c r="M50" s="82">
        <v>7.0000000000000007E-2</v>
      </c>
      <c r="N50" s="82">
        <v>0.11</v>
      </c>
      <c r="O50" s="82">
        <v>60</v>
      </c>
      <c r="P50" s="82">
        <v>1</v>
      </c>
      <c r="Q50" s="82">
        <v>1.4</v>
      </c>
      <c r="R50" s="82">
        <v>130</v>
      </c>
      <c r="S50" s="82">
        <v>457.1</v>
      </c>
      <c r="T50" s="82">
        <v>21.4</v>
      </c>
      <c r="U50" s="82">
        <v>54.3</v>
      </c>
      <c r="V50" s="82">
        <v>27.1</v>
      </c>
      <c r="W50" s="82">
        <v>0</v>
      </c>
      <c r="X50" s="82">
        <v>143.6</v>
      </c>
      <c r="Y50" s="82">
        <v>12.1</v>
      </c>
    </row>
    <row r="51" spans="1:25" s="45" customFormat="1" ht="22.05" customHeight="1" x14ac:dyDescent="0.3">
      <c r="A51" s="20"/>
      <c r="B51" s="230"/>
      <c r="C51" s="224" t="s">
        <v>107</v>
      </c>
      <c r="D51" s="224"/>
      <c r="E51" s="48">
        <v>50</v>
      </c>
      <c r="F51" s="49">
        <v>1.74</v>
      </c>
      <c r="G51" s="49">
        <v>0.32</v>
      </c>
      <c r="H51" s="49">
        <v>10.7</v>
      </c>
      <c r="I51" s="49">
        <v>67.11</v>
      </c>
      <c r="J51" s="48" t="s">
        <v>60</v>
      </c>
      <c r="K51" s="133">
        <v>4.7300000000000004</v>
      </c>
      <c r="L51" s="133"/>
      <c r="M51" s="82">
        <f>M16/40*50</f>
        <v>0.20500000000000002</v>
      </c>
      <c r="N51" s="82">
        <f t="shared" ref="N51:Y51" si="6">N16/40*50</f>
        <v>0.12625000000000003</v>
      </c>
      <c r="O51" s="82">
        <f t="shared" si="6"/>
        <v>0</v>
      </c>
      <c r="P51" s="82">
        <f t="shared" si="6"/>
        <v>2.8000000000000003</v>
      </c>
      <c r="Q51" s="82">
        <f t="shared" si="6"/>
        <v>0.1</v>
      </c>
      <c r="R51" s="82">
        <f t="shared" si="6"/>
        <v>236.49999999999997</v>
      </c>
      <c r="S51" s="82">
        <f t="shared" si="6"/>
        <v>62.5</v>
      </c>
      <c r="T51" s="82">
        <f t="shared" si="6"/>
        <v>2.4500000000000002</v>
      </c>
      <c r="U51" s="82">
        <f t="shared" si="6"/>
        <v>20.5</v>
      </c>
      <c r="V51" s="82">
        <f t="shared" si="6"/>
        <v>64.5</v>
      </c>
      <c r="W51" s="82">
        <f t="shared" si="6"/>
        <v>1.7999999999999998</v>
      </c>
      <c r="X51" s="82">
        <f t="shared" si="6"/>
        <v>0</v>
      </c>
      <c r="Y51" s="82">
        <f t="shared" si="6"/>
        <v>14.399999999999999</v>
      </c>
    </row>
    <row r="52" spans="1:25" s="45" customFormat="1" ht="22.05" customHeight="1" x14ac:dyDescent="0.3">
      <c r="A52" s="20"/>
      <c r="B52" s="230"/>
      <c r="C52" s="224" t="s">
        <v>115</v>
      </c>
      <c r="D52" s="224"/>
      <c r="E52" s="48">
        <v>39</v>
      </c>
      <c r="F52" s="49">
        <f>F148/40*39</f>
        <v>0.74099999999999999</v>
      </c>
      <c r="G52" s="49">
        <f>G148/40*39</f>
        <v>0.17549999999999999</v>
      </c>
      <c r="H52" s="49">
        <f>H148/40*39</f>
        <v>9.75</v>
      </c>
      <c r="I52" s="49">
        <f>I148/40*39</f>
        <v>48.252749999999999</v>
      </c>
      <c r="J52" s="48" t="s">
        <v>60</v>
      </c>
      <c r="K52" s="133">
        <v>3.64</v>
      </c>
      <c r="L52" s="133"/>
      <c r="M52" s="82">
        <f>M17/40*39</f>
        <v>0.16575000000000001</v>
      </c>
      <c r="N52" s="82">
        <f t="shared" ref="N52:Y52" si="7">N17/40*39</f>
        <v>0.12675</v>
      </c>
      <c r="O52" s="82">
        <f t="shared" si="7"/>
        <v>0</v>
      </c>
      <c r="P52" s="82">
        <f t="shared" si="7"/>
        <v>1.482</v>
      </c>
      <c r="Q52" s="82">
        <f t="shared" si="7"/>
        <v>0.156</v>
      </c>
      <c r="R52" s="82">
        <f t="shared" si="7"/>
        <v>235.17</v>
      </c>
      <c r="S52" s="82">
        <f t="shared" si="7"/>
        <v>28.47</v>
      </c>
      <c r="T52" s="82">
        <f t="shared" si="7"/>
        <v>0.46800000000000003</v>
      </c>
      <c r="U52" s="82">
        <f t="shared" si="7"/>
        <v>15.600000000000001</v>
      </c>
      <c r="V52" s="82">
        <f t="shared" si="7"/>
        <v>48.75</v>
      </c>
      <c r="W52" s="82">
        <f t="shared" si="7"/>
        <v>1.10175</v>
      </c>
      <c r="X52" s="82">
        <f t="shared" si="7"/>
        <v>0</v>
      </c>
      <c r="Y52" s="82">
        <f t="shared" si="7"/>
        <v>12.051</v>
      </c>
    </row>
    <row r="53" spans="1:25" s="45" customFormat="1" ht="22.05" customHeight="1" x14ac:dyDescent="0.3">
      <c r="A53" s="20"/>
      <c r="B53" s="230"/>
      <c r="C53" s="224" t="s">
        <v>182</v>
      </c>
      <c r="D53" s="224"/>
      <c r="E53" s="48">
        <v>200</v>
      </c>
      <c r="F53" s="49">
        <v>0.6</v>
      </c>
      <c r="G53" s="49">
        <v>0</v>
      </c>
      <c r="H53" s="49">
        <v>22.7</v>
      </c>
      <c r="I53" s="49">
        <v>93.2</v>
      </c>
      <c r="J53" s="50" t="s">
        <v>31</v>
      </c>
      <c r="K53" s="133">
        <v>5.67</v>
      </c>
      <c r="L53" s="133"/>
      <c r="M53" s="82">
        <v>1</v>
      </c>
      <c r="N53" s="82">
        <v>18.3</v>
      </c>
      <c r="O53" s="82">
        <v>0.06</v>
      </c>
      <c r="P53" s="82">
        <v>0</v>
      </c>
      <c r="Q53" s="82">
        <v>0</v>
      </c>
      <c r="R53" s="82">
        <v>0</v>
      </c>
      <c r="S53" s="82">
        <v>0</v>
      </c>
      <c r="T53" s="82">
        <v>60</v>
      </c>
      <c r="U53" s="82">
        <v>3</v>
      </c>
      <c r="V53" s="82">
        <v>5</v>
      </c>
      <c r="W53" s="82">
        <v>0</v>
      </c>
      <c r="X53" s="82">
        <v>0</v>
      </c>
      <c r="Y53" s="82">
        <v>0</v>
      </c>
    </row>
    <row r="54" spans="1:25" s="45" customFormat="1" ht="22.05" customHeight="1" x14ac:dyDescent="0.3">
      <c r="A54" s="20"/>
      <c r="B54" s="42"/>
      <c r="C54" s="228" t="s">
        <v>105</v>
      </c>
      <c r="D54" s="228"/>
      <c r="E54" s="44">
        <f>SUM(E48:E53)</f>
        <v>669</v>
      </c>
      <c r="F54" s="55">
        <f>SUM(F48:F53)</f>
        <v>19.870999999999999</v>
      </c>
      <c r="G54" s="55">
        <f>SUM(G48:G53)</f>
        <v>16.6755</v>
      </c>
      <c r="H54" s="55">
        <f>SUM(H48:H53)</f>
        <v>101.38</v>
      </c>
      <c r="I54" s="55">
        <f>SUM(I48:I53)</f>
        <v>653.43275000000006</v>
      </c>
      <c r="J54" s="44"/>
      <c r="K54" s="55">
        <f>SUM(K48:K53)</f>
        <v>93.01</v>
      </c>
      <c r="L54" s="133"/>
      <c r="M54" s="102">
        <f t="shared" ref="M54:Y54" si="8">SUM(M48:M53)</f>
        <v>1.5307500000000001</v>
      </c>
      <c r="N54" s="102">
        <f t="shared" si="8"/>
        <v>18.733000000000001</v>
      </c>
      <c r="O54" s="102">
        <f t="shared" si="8"/>
        <v>201.55</v>
      </c>
      <c r="P54" s="102">
        <f t="shared" si="8"/>
        <v>6.5420000000000007</v>
      </c>
      <c r="Q54" s="102">
        <f t="shared" si="8"/>
        <v>21.215999999999998</v>
      </c>
      <c r="R54" s="102">
        <f t="shared" si="8"/>
        <v>1042</v>
      </c>
      <c r="S54" s="102">
        <f t="shared" si="8"/>
        <v>825.51</v>
      </c>
      <c r="T54" s="102">
        <f t="shared" si="8"/>
        <v>138.08800000000002</v>
      </c>
      <c r="U54" s="102">
        <f t="shared" si="8"/>
        <v>125.16999999999999</v>
      </c>
      <c r="V54" s="102">
        <f t="shared" si="8"/>
        <v>239.35</v>
      </c>
      <c r="W54" s="102">
        <f t="shared" si="8"/>
        <v>3.9017499999999998</v>
      </c>
      <c r="X54" s="102">
        <f t="shared" si="8"/>
        <v>186.82999999999998</v>
      </c>
      <c r="Y54" s="102">
        <f t="shared" si="8"/>
        <v>48.610999999999997</v>
      </c>
    </row>
    <row r="55" spans="1:25" s="113" customFormat="1" ht="22.05" customHeight="1" x14ac:dyDescent="0.3">
      <c r="A55" s="20"/>
      <c r="B55" s="38"/>
      <c r="C55" s="39"/>
      <c r="D55" s="39"/>
      <c r="E55" s="185"/>
      <c r="F55" s="91"/>
      <c r="G55" s="91"/>
      <c r="H55" s="91"/>
      <c r="I55" s="91"/>
      <c r="J55" s="185"/>
      <c r="K55" s="91"/>
      <c r="L55" s="91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</row>
    <row r="56" spans="1:25" s="47" customFormat="1" ht="22.05" customHeight="1" x14ac:dyDescent="0.3">
      <c r="A56" s="14"/>
      <c r="B56" s="35"/>
      <c r="C56" s="14"/>
      <c r="D56" s="14"/>
      <c r="E56" s="14"/>
      <c r="F56" s="36"/>
      <c r="G56" s="36"/>
      <c r="H56" s="36"/>
      <c r="I56" s="36"/>
      <c r="J56" s="14"/>
      <c r="K56" s="61"/>
      <c r="L56" s="61"/>
    </row>
    <row r="57" spans="1:25" s="45" customFormat="1" ht="22.05" customHeight="1" x14ac:dyDescent="0.3">
      <c r="A57" s="20"/>
      <c r="B57" s="225" t="s">
        <v>59</v>
      </c>
      <c r="C57" s="225"/>
      <c r="D57" s="225"/>
      <c r="E57" s="225"/>
      <c r="F57" s="225"/>
      <c r="G57" s="225"/>
      <c r="H57" s="225"/>
      <c r="I57" s="225"/>
      <c r="J57" s="225"/>
      <c r="K57" s="225"/>
      <c r="L57" s="147"/>
      <c r="M57" s="260"/>
      <c r="N57" s="260"/>
      <c r="O57" s="260"/>
      <c r="P57" s="260"/>
      <c r="Q57" s="260"/>
      <c r="R57" s="260"/>
      <c r="S57" s="260"/>
      <c r="T57" s="260"/>
      <c r="U57" s="260"/>
      <c r="V57" s="260"/>
      <c r="W57" s="260"/>
      <c r="X57" s="260"/>
      <c r="Y57" s="260"/>
    </row>
    <row r="58" spans="1:25" s="45" customFormat="1" ht="22.05" customHeight="1" x14ac:dyDescent="0.3">
      <c r="A58" s="20"/>
      <c r="B58" s="231" t="s">
        <v>70</v>
      </c>
      <c r="C58" s="225" t="s">
        <v>1</v>
      </c>
      <c r="D58" s="225"/>
      <c r="E58" s="231" t="s">
        <v>71</v>
      </c>
      <c r="F58" s="225" t="s">
        <v>3</v>
      </c>
      <c r="G58" s="225"/>
      <c r="H58" s="225"/>
      <c r="I58" s="231" t="s">
        <v>142</v>
      </c>
      <c r="J58" s="225" t="s">
        <v>72</v>
      </c>
      <c r="K58" s="225" t="s">
        <v>180</v>
      </c>
      <c r="L58" s="143"/>
      <c r="M58" s="260" t="s">
        <v>156</v>
      </c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0"/>
    </row>
    <row r="59" spans="1:25" s="45" customFormat="1" ht="44.4" customHeight="1" x14ac:dyDescent="0.3">
      <c r="A59" s="20"/>
      <c r="B59" s="231"/>
      <c r="C59" s="225"/>
      <c r="D59" s="225"/>
      <c r="E59" s="231"/>
      <c r="F59" s="213" t="s">
        <v>139</v>
      </c>
      <c r="G59" s="213" t="s">
        <v>140</v>
      </c>
      <c r="H59" s="213" t="s">
        <v>141</v>
      </c>
      <c r="I59" s="231"/>
      <c r="J59" s="225"/>
      <c r="K59" s="225"/>
      <c r="L59" s="144"/>
      <c r="M59" s="262" t="s">
        <v>74</v>
      </c>
      <c r="N59" s="262"/>
      <c r="O59" s="262"/>
      <c r="P59" s="262"/>
      <c r="Q59" s="262"/>
      <c r="R59" s="262"/>
      <c r="S59" s="262"/>
      <c r="T59" s="262"/>
      <c r="U59" s="262"/>
      <c r="V59" s="262"/>
      <c r="W59" s="262"/>
      <c r="X59" s="262"/>
      <c r="Y59" s="262"/>
    </row>
    <row r="60" spans="1:25" s="47" customFormat="1" ht="22.2" customHeight="1" x14ac:dyDescent="0.3">
      <c r="A60" s="14"/>
      <c r="B60" s="229" t="s">
        <v>74</v>
      </c>
      <c r="C60" s="229"/>
      <c r="D60" s="229"/>
      <c r="E60" s="229"/>
      <c r="F60" s="229"/>
      <c r="G60" s="229"/>
      <c r="H60" s="229"/>
      <c r="I60" s="229"/>
      <c r="J60" s="229"/>
      <c r="K60" s="229"/>
      <c r="L60" s="141"/>
      <c r="M60" s="80" t="s">
        <v>143</v>
      </c>
      <c r="N60" s="80" t="s">
        <v>144</v>
      </c>
      <c r="O60" s="80" t="s">
        <v>145</v>
      </c>
      <c r="P60" s="80" t="s">
        <v>147</v>
      </c>
      <c r="Q60" s="80" t="s">
        <v>146</v>
      </c>
      <c r="R60" s="80" t="s">
        <v>148</v>
      </c>
      <c r="S60" s="80" t="s">
        <v>149</v>
      </c>
      <c r="T60" s="80" t="s">
        <v>150</v>
      </c>
      <c r="U60" s="80" t="s">
        <v>151</v>
      </c>
      <c r="V60" s="80" t="s">
        <v>152</v>
      </c>
      <c r="W60" s="80" t="s">
        <v>153</v>
      </c>
      <c r="X60" s="80" t="s">
        <v>154</v>
      </c>
      <c r="Y60" s="80" t="s">
        <v>155</v>
      </c>
    </row>
    <row r="61" spans="1:25" s="113" customFormat="1" ht="22.05" customHeight="1" x14ac:dyDescent="0.3">
      <c r="A61" s="20"/>
      <c r="B61" s="230" t="s">
        <v>4</v>
      </c>
      <c r="C61" s="224" t="s">
        <v>198</v>
      </c>
      <c r="D61" s="224"/>
      <c r="E61" s="48">
        <v>100</v>
      </c>
      <c r="F61" s="49">
        <v>1.1100000000000001</v>
      </c>
      <c r="G61" s="49">
        <v>3.34</v>
      </c>
      <c r="H61" s="49">
        <v>7.96</v>
      </c>
      <c r="I61" s="49">
        <v>65.8</v>
      </c>
      <c r="J61" s="50">
        <v>15</v>
      </c>
      <c r="K61" s="133">
        <v>12.83</v>
      </c>
      <c r="L61" s="133"/>
      <c r="M61" s="112">
        <v>0.03</v>
      </c>
      <c r="N61" s="112">
        <v>0.04</v>
      </c>
      <c r="O61" s="112">
        <v>0</v>
      </c>
      <c r="P61" s="112">
        <v>0</v>
      </c>
      <c r="Q61" s="112">
        <v>6.3</v>
      </c>
      <c r="R61" s="112">
        <v>0</v>
      </c>
      <c r="S61" s="112">
        <v>0</v>
      </c>
      <c r="T61" s="112">
        <v>34.520000000000003</v>
      </c>
      <c r="U61" s="112">
        <v>18.260000000000002</v>
      </c>
      <c r="V61" s="112">
        <v>30.16</v>
      </c>
      <c r="W61" s="112">
        <v>0.9</v>
      </c>
      <c r="X61" s="112">
        <v>0</v>
      </c>
      <c r="Y61" s="112">
        <v>0</v>
      </c>
    </row>
    <row r="62" spans="1:25" s="45" customFormat="1" ht="22.05" customHeight="1" x14ac:dyDescent="0.3">
      <c r="A62" s="20"/>
      <c r="B62" s="230"/>
      <c r="C62" s="232" t="s">
        <v>33</v>
      </c>
      <c r="D62" s="232"/>
      <c r="E62" s="48">
        <v>200</v>
      </c>
      <c r="F62" s="49">
        <v>4.0999999999999996</v>
      </c>
      <c r="G62" s="49">
        <v>7.6</v>
      </c>
      <c r="H62" s="49">
        <v>31.5</v>
      </c>
      <c r="I62" s="49">
        <v>211.1</v>
      </c>
      <c r="J62" s="50" t="s">
        <v>32</v>
      </c>
      <c r="K62" s="133">
        <v>22.09</v>
      </c>
      <c r="L62" s="133"/>
      <c r="M62" s="82">
        <v>0.16</v>
      </c>
      <c r="N62" s="82">
        <v>0.1</v>
      </c>
      <c r="O62" s="82">
        <v>31</v>
      </c>
      <c r="P62" s="82">
        <v>1.3</v>
      </c>
      <c r="Q62" s="82">
        <v>13</v>
      </c>
      <c r="R62" s="82">
        <v>319</v>
      </c>
      <c r="S62" s="82">
        <v>1003</v>
      </c>
      <c r="T62" s="82">
        <v>54</v>
      </c>
      <c r="U62" s="82">
        <v>39</v>
      </c>
      <c r="V62" s="82">
        <v>111</v>
      </c>
      <c r="W62" s="82">
        <v>1</v>
      </c>
      <c r="X62" s="82">
        <v>38</v>
      </c>
      <c r="Y62" s="82">
        <v>1.1000000000000001</v>
      </c>
    </row>
    <row r="63" spans="1:25" s="113" customFormat="1" ht="28.2" customHeight="1" x14ac:dyDescent="0.3">
      <c r="A63" s="14"/>
      <c r="B63" s="230"/>
      <c r="C63" s="224" t="s">
        <v>222</v>
      </c>
      <c r="D63" s="224"/>
      <c r="E63" s="48">
        <v>140</v>
      </c>
      <c r="F63" s="49">
        <v>16.2</v>
      </c>
      <c r="G63" s="49">
        <v>13.5</v>
      </c>
      <c r="H63" s="49">
        <v>9.5</v>
      </c>
      <c r="I63" s="49">
        <v>223.5</v>
      </c>
      <c r="J63" s="50" t="s">
        <v>21</v>
      </c>
      <c r="K63" s="133">
        <v>52.84</v>
      </c>
      <c r="L63" s="133"/>
      <c r="M63" s="112">
        <v>0.04</v>
      </c>
      <c r="N63" s="112">
        <v>0.1</v>
      </c>
      <c r="O63" s="112">
        <v>1.9</v>
      </c>
      <c r="P63" s="112">
        <v>2.1</v>
      </c>
      <c r="Q63" s="112">
        <v>0</v>
      </c>
      <c r="R63" s="112">
        <v>295.8</v>
      </c>
      <c r="S63" s="112">
        <v>310.39999999999998</v>
      </c>
      <c r="T63" s="112">
        <v>29.4</v>
      </c>
      <c r="U63" s="112">
        <v>20.8</v>
      </c>
      <c r="V63" s="112">
        <v>172.4</v>
      </c>
      <c r="W63" s="112">
        <v>2.4</v>
      </c>
      <c r="X63" s="112">
        <v>32.700000000000003</v>
      </c>
      <c r="Y63" s="112">
        <v>1.8</v>
      </c>
    </row>
    <row r="64" spans="1:25" s="45" customFormat="1" ht="22.05" customHeight="1" x14ac:dyDescent="0.3">
      <c r="A64" s="20"/>
      <c r="B64" s="230"/>
      <c r="C64" s="224" t="s">
        <v>111</v>
      </c>
      <c r="D64" s="224"/>
      <c r="E64" s="48">
        <v>50</v>
      </c>
      <c r="F64" s="49">
        <v>1.74</v>
      </c>
      <c r="G64" s="49">
        <v>0.32</v>
      </c>
      <c r="H64" s="49">
        <v>10.7</v>
      </c>
      <c r="I64" s="49">
        <v>67.11</v>
      </c>
      <c r="J64" s="48" t="s">
        <v>60</v>
      </c>
      <c r="K64" s="133">
        <v>2.91</v>
      </c>
      <c r="L64" s="133"/>
      <c r="M64" s="82">
        <f>M16/40*50</f>
        <v>0.20500000000000002</v>
      </c>
      <c r="N64" s="82">
        <f t="shared" ref="N64:Y64" si="9">N16/40*50</f>
        <v>0.12625000000000003</v>
      </c>
      <c r="O64" s="82">
        <f t="shared" si="9"/>
        <v>0</v>
      </c>
      <c r="P64" s="82">
        <f t="shared" si="9"/>
        <v>2.8000000000000003</v>
      </c>
      <c r="Q64" s="82">
        <f t="shared" si="9"/>
        <v>0.1</v>
      </c>
      <c r="R64" s="82">
        <f t="shared" si="9"/>
        <v>236.49999999999997</v>
      </c>
      <c r="S64" s="82">
        <f t="shared" si="9"/>
        <v>62.5</v>
      </c>
      <c r="T64" s="82">
        <f t="shared" si="9"/>
        <v>2.4500000000000002</v>
      </c>
      <c r="U64" s="82">
        <f t="shared" si="9"/>
        <v>20.5</v>
      </c>
      <c r="V64" s="82">
        <f t="shared" si="9"/>
        <v>64.5</v>
      </c>
      <c r="W64" s="82">
        <f t="shared" si="9"/>
        <v>1.7999999999999998</v>
      </c>
      <c r="X64" s="82">
        <f t="shared" si="9"/>
        <v>0</v>
      </c>
      <c r="Y64" s="82">
        <f t="shared" si="9"/>
        <v>14.399999999999999</v>
      </c>
    </row>
    <row r="65" spans="1:25" s="45" customFormat="1" ht="22.05" customHeight="1" x14ac:dyDescent="0.3">
      <c r="A65" s="20"/>
      <c r="B65" s="230"/>
      <c r="C65" s="224" t="s">
        <v>115</v>
      </c>
      <c r="D65" s="224"/>
      <c r="E65" s="48">
        <v>33</v>
      </c>
      <c r="F65" s="49">
        <f>F148/40*33</f>
        <v>0.627</v>
      </c>
      <c r="G65" s="49">
        <f>G148/40*33</f>
        <v>0.14849999999999999</v>
      </c>
      <c r="H65" s="49">
        <f>H148/40*33</f>
        <v>8.25</v>
      </c>
      <c r="I65" s="49">
        <f>I148/40*33</f>
        <v>40.829250000000002</v>
      </c>
      <c r="J65" s="48" t="s">
        <v>60</v>
      </c>
      <c r="K65" s="133">
        <v>2.73</v>
      </c>
      <c r="L65" s="133"/>
      <c r="M65" s="82">
        <f>M17/40*33</f>
        <v>0.14025000000000001</v>
      </c>
      <c r="N65" s="82">
        <f t="shared" ref="N65:Y65" si="10">N17/40*33</f>
        <v>0.10725000000000001</v>
      </c>
      <c r="O65" s="82">
        <f t="shared" si="10"/>
        <v>0</v>
      </c>
      <c r="P65" s="82">
        <f t="shared" si="10"/>
        <v>1.254</v>
      </c>
      <c r="Q65" s="82">
        <f t="shared" si="10"/>
        <v>0.13200000000000001</v>
      </c>
      <c r="R65" s="82">
        <f t="shared" si="10"/>
        <v>198.98999999999998</v>
      </c>
      <c r="S65" s="82">
        <f t="shared" si="10"/>
        <v>24.09</v>
      </c>
      <c r="T65" s="82">
        <f t="shared" si="10"/>
        <v>0.39600000000000002</v>
      </c>
      <c r="U65" s="82">
        <f t="shared" si="10"/>
        <v>13.200000000000001</v>
      </c>
      <c r="V65" s="82">
        <f t="shared" si="10"/>
        <v>41.25</v>
      </c>
      <c r="W65" s="82">
        <f t="shared" si="10"/>
        <v>0.93224999999999991</v>
      </c>
      <c r="X65" s="82">
        <f t="shared" si="10"/>
        <v>0</v>
      </c>
      <c r="Y65" s="82">
        <f t="shared" si="10"/>
        <v>10.196999999999999</v>
      </c>
    </row>
    <row r="66" spans="1:25" s="45" customFormat="1" ht="22.05" customHeight="1" x14ac:dyDescent="0.3">
      <c r="A66" s="20"/>
      <c r="B66" s="230"/>
      <c r="C66" s="224" t="s">
        <v>23</v>
      </c>
      <c r="D66" s="224"/>
      <c r="E66" s="48">
        <v>200</v>
      </c>
      <c r="F66" s="49">
        <v>0.2</v>
      </c>
      <c r="G66" s="49">
        <v>0</v>
      </c>
      <c r="H66" s="49">
        <v>6.4</v>
      </c>
      <c r="I66" s="49">
        <v>26.4</v>
      </c>
      <c r="J66" s="50" t="s">
        <v>22</v>
      </c>
      <c r="K66" s="133">
        <v>8.5299999999999994</v>
      </c>
      <c r="L66" s="133"/>
      <c r="M66" s="82">
        <v>0</v>
      </c>
      <c r="N66" s="82">
        <v>0</v>
      </c>
      <c r="O66" s="82">
        <v>0</v>
      </c>
      <c r="P66" s="82">
        <v>0.1</v>
      </c>
      <c r="Q66" s="82">
        <v>0</v>
      </c>
      <c r="R66" s="82">
        <v>1</v>
      </c>
      <c r="S66" s="82">
        <v>25</v>
      </c>
      <c r="T66" s="82">
        <v>4</v>
      </c>
      <c r="U66" s="82">
        <v>4</v>
      </c>
      <c r="V66" s="82">
        <v>7</v>
      </c>
      <c r="W66" s="82">
        <v>1</v>
      </c>
      <c r="X66" s="82">
        <v>0</v>
      </c>
      <c r="Y66" s="82">
        <v>0</v>
      </c>
    </row>
    <row r="67" spans="1:25" s="20" customFormat="1" ht="22.05" customHeight="1" x14ac:dyDescent="0.3">
      <c r="B67" s="42"/>
      <c r="C67" s="228" t="s">
        <v>105</v>
      </c>
      <c r="D67" s="228"/>
      <c r="E67" s="44">
        <f>SUM(E61:E66)</f>
        <v>723</v>
      </c>
      <c r="F67" s="55">
        <f>SUM(F61:F66)</f>
        <v>23.976999999999997</v>
      </c>
      <c r="G67" s="55">
        <f>SUM(G61:G66)</f>
        <v>24.908499999999997</v>
      </c>
      <c r="H67" s="55">
        <f>SUM(H61:H66)</f>
        <v>74.31</v>
      </c>
      <c r="I67" s="55">
        <f>SUM(I61:I66)</f>
        <v>634.73924999999997</v>
      </c>
      <c r="J67" s="44"/>
      <c r="K67" s="55">
        <f>SUM(K61:K66)</f>
        <v>101.93</v>
      </c>
      <c r="L67" s="133"/>
      <c r="M67" s="103">
        <f t="shared" ref="M67:Y67" si="11">SUM(M61:M66)</f>
        <v>0.57525000000000004</v>
      </c>
      <c r="N67" s="103">
        <f t="shared" si="11"/>
        <v>0.47350000000000009</v>
      </c>
      <c r="O67" s="103">
        <f t="shared" si="11"/>
        <v>32.9</v>
      </c>
      <c r="P67" s="103">
        <f t="shared" si="11"/>
        <v>7.5540000000000003</v>
      </c>
      <c r="Q67" s="103">
        <f t="shared" si="11"/>
        <v>19.532000000000004</v>
      </c>
      <c r="R67" s="103">
        <f t="shared" si="11"/>
        <v>1051.29</v>
      </c>
      <c r="S67" s="103">
        <f t="shared" si="11"/>
        <v>1424.99</v>
      </c>
      <c r="T67" s="103">
        <f t="shared" si="11"/>
        <v>124.76600000000002</v>
      </c>
      <c r="U67" s="103">
        <f t="shared" si="11"/>
        <v>115.76</v>
      </c>
      <c r="V67" s="103">
        <f t="shared" si="11"/>
        <v>426.31</v>
      </c>
      <c r="W67" s="103">
        <f t="shared" si="11"/>
        <v>8.0322499999999994</v>
      </c>
      <c r="X67" s="103">
        <f t="shared" si="11"/>
        <v>70.7</v>
      </c>
      <c r="Y67" s="103">
        <f t="shared" si="11"/>
        <v>27.496999999999996</v>
      </c>
    </row>
    <row r="68" spans="1:25" s="20" customFormat="1" ht="22.05" customHeight="1" x14ac:dyDescent="0.3">
      <c r="B68" s="38"/>
      <c r="C68" s="39"/>
      <c r="D68" s="39"/>
      <c r="E68" s="84"/>
      <c r="F68" s="91"/>
      <c r="G68" s="91"/>
      <c r="H68" s="91"/>
      <c r="I68" s="91"/>
      <c r="J68" s="84"/>
      <c r="K68" s="126"/>
      <c r="L68" s="147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</row>
    <row r="69" spans="1:25" s="45" customFormat="1" ht="22.05" customHeight="1" x14ac:dyDescent="0.3">
      <c r="A69" s="20"/>
      <c r="B69" s="226"/>
      <c r="C69" s="226"/>
      <c r="D69" s="226"/>
      <c r="E69" s="20"/>
      <c r="F69" s="20"/>
      <c r="G69" s="20"/>
      <c r="H69" s="20"/>
      <c r="I69" s="84"/>
      <c r="J69" s="84"/>
      <c r="K69" s="126"/>
      <c r="L69" s="147"/>
    </row>
    <row r="70" spans="1:25" s="45" customFormat="1" ht="22.05" customHeight="1" x14ac:dyDescent="0.3">
      <c r="A70" s="20"/>
      <c r="B70" s="225" t="s">
        <v>161</v>
      </c>
      <c r="C70" s="225"/>
      <c r="D70" s="225"/>
      <c r="E70" s="225"/>
      <c r="F70" s="225"/>
      <c r="G70" s="225"/>
      <c r="H70" s="225"/>
      <c r="I70" s="225"/>
      <c r="J70" s="225"/>
      <c r="K70" s="225"/>
      <c r="L70" s="147"/>
      <c r="M70" s="260"/>
      <c r="N70" s="260"/>
      <c r="O70" s="260"/>
      <c r="P70" s="260"/>
      <c r="Q70" s="260"/>
      <c r="R70" s="260"/>
      <c r="S70" s="260"/>
      <c r="T70" s="260"/>
      <c r="U70" s="260"/>
      <c r="V70" s="260"/>
      <c r="W70" s="260"/>
      <c r="X70" s="260"/>
      <c r="Y70" s="260"/>
    </row>
    <row r="71" spans="1:25" s="45" customFormat="1" ht="22.05" customHeight="1" x14ac:dyDescent="0.3">
      <c r="A71" s="20"/>
      <c r="B71" s="231" t="s">
        <v>70</v>
      </c>
      <c r="C71" s="225" t="s">
        <v>1</v>
      </c>
      <c r="D71" s="225"/>
      <c r="E71" s="231" t="s">
        <v>71</v>
      </c>
      <c r="F71" s="225" t="s">
        <v>3</v>
      </c>
      <c r="G71" s="225"/>
      <c r="H71" s="225"/>
      <c r="I71" s="231" t="s">
        <v>142</v>
      </c>
      <c r="J71" s="225" t="s">
        <v>72</v>
      </c>
      <c r="K71" s="225" t="s">
        <v>180</v>
      </c>
      <c r="L71" s="148"/>
      <c r="M71" s="260" t="s">
        <v>156</v>
      </c>
      <c r="N71" s="260"/>
      <c r="O71" s="260"/>
      <c r="P71" s="260"/>
      <c r="Q71" s="260"/>
      <c r="R71" s="260"/>
      <c r="S71" s="260"/>
      <c r="T71" s="260"/>
      <c r="U71" s="260"/>
      <c r="V71" s="260"/>
      <c r="W71" s="260"/>
      <c r="X71" s="260"/>
      <c r="Y71" s="260"/>
    </row>
    <row r="72" spans="1:25" s="45" customFormat="1" ht="45" customHeight="1" x14ac:dyDescent="0.3">
      <c r="A72" s="20"/>
      <c r="B72" s="231"/>
      <c r="C72" s="225"/>
      <c r="D72" s="225"/>
      <c r="E72" s="231"/>
      <c r="F72" s="213" t="s">
        <v>139</v>
      </c>
      <c r="G72" s="213" t="s">
        <v>140</v>
      </c>
      <c r="H72" s="213" t="s">
        <v>141</v>
      </c>
      <c r="I72" s="231"/>
      <c r="J72" s="225"/>
      <c r="K72" s="225"/>
      <c r="L72" s="149"/>
      <c r="M72" s="262" t="s">
        <v>101</v>
      </c>
      <c r="N72" s="262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262"/>
    </row>
    <row r="73" spans="1:25" s="47" customFormat="1" ht="22.05" customHeight="1" x14ac:dyDescent="0.3">
      <c r="A73" s="14"/>
      <c r="B73" s="229" t="s">
        <v>101</v>
      </c>
      <c r="C73" s="229"/>
      <c r="D73" s="229"/>
      <c r="E73" s="229"/>
      <c r="F73" s="229"/>
      <c r="G73" s="229"/>
      <c r="H73" s="229"/>
      <c r="I73" s="229"/>
      <c r="J73" s="229"/>
      <c r="K73" s="229"/>
      <c r="L73" s="141"/>
      <c r="M73" s="80" t="s">
        <v>143</v>
      </c>
      <c r="N73" s="80" t="s">
        <v>144</v>
      </c>
      <c r="O73" s="80" t="s">
        <v>145</v>
      </c>
      <c r="P73" s="80" t="s">
        <v>147</v>
      </c>
      <c r="Q73" s="80" t="s">
        <v>146</v>
      </c>
      <c r="R73" s="80" t="s">
        <v>148</v>
      </c>
      <c r="S73" s="80" t="s">
        <v>149</v>
      </c>
      <c r="T73" s="80" t="s">
        <v>150</v>
      </c>
      <c r="U73" s="80" t="s">
        <v>151</v>
      </c>
      <c r="V73" s="80" t="s">
        <v>152</v>
      </c>
      <c r="W73" s="80" t="s">
        <v>153</v>
      </c>
      <c r="X73" s="80" t="s">
        <v>154</v>
      </c>
      <c r="Y73" s="80" t="s">
        <v>155</v>
      </c>
    </row>
    <row r="74" spans="1:25" s="113" customFormat="1" ht="22.05" customHeight="1" x14ac:dyDescent="0.3">
      <c r="A74" s="20"/>
      <c r="B74" s="230" t="s">
        <v>4</v>
      </c>
      <c r="C74" s="232" t="s">
        <v>215</v>
      </c>
      <c r="D74" s="232"/>
      <c r="E74" s="48">
        <v>120</v>
      </c>
      <c r="F74" s="49">
        <v>1.5</v>
      </c>
      <c r="G74" s="49">
        <v>10.7</v>
      </c>
      <c r="H74" s="49">
        <v>9</v>
      </c>
      <c r="I74" s="49">
        <v>137.1</v>
      </c>
      <c r="J74" s="50" t="s">
        <v>216</v>
      </c>
      <c r="K74" s="133">
        <v>14.83</v>
      </c>
      <c r="L74" s="133"/>
      <c r="M74" s="112">
        <v>0.09</v>
      </c>
      <c r="N74" s="112">
        <v>0.15</v>
      </c>
      <c r="O74" s="112">
        <v>151.80000000000001</v>
      </c>
      <c r="P74" s="112">
        <v>5.14</v>
      </c>
      <c r="Q74" s="112">
        <v>36.799999999999997</v>
      </c>
      <c r="R74" s="112">
        <v>450.6</v>
      </c>
      <c r="S74" s="112">
        <v>511.5</v>
      </c>
      <c r="T74" s="112">
        <v>93.5</v>
      </c>
      <c r="U74" s="112">
        <v>37.43</v>
      </c>
      <c r="V74" s="112">
        <v>157.69999999999999</v>
      </c>
      <c r="W74" s="112">
        <v>2.39</v>
      </c>
      <c r="X74" s="112">
        <v>24.4</v>
      </c>
      <c r="Y74" s="112">
        <v>0.7</v>
      </c>
    </row>
    <row r="75" spans="1:25" s="45" customFormat="1" ht="22.05" customHeight="1" x14ac:dyDescent="0.3">
      <c r="A75" s="20"/>
      <c r="B75" s="230"/>
      <c r="C75" s="224" t="s">
        <v>78</v>
      </c>
      <c r="D75" s="224"/>
      <c r="E75" s="48">
        <v>230</v>
      </c>
      <c r="F75" s="49">
        <v>4.5199999999999996</v>
      </c>
      <c r="G75" s="49">
        <v>15.92</v>
      </c>
      <c r="H75" s="49">
        <v>14.96</v>
      </c>
      <c r="I75" s="49">
        <v>232.3</v>
      </c>
      <c r="J75" s="50" t="s">
        <v>79</v>
      </c>
      <c r="K75" s="133">
        <v>71.63</v>
      </c>
      <c r="L75" s="140"/>
      <c r="M75" s="82">
        <v>0.09</v>
      </c>
      <c r="N75" s="82">
        <v>0.15</v>
      </c>
      <c r="O75" s="82">
        <v>151.80000000000001</v>
      </c>
      <c r="P75" s="82">
        <v>5.14</v>
      </c>
      <c r="Q75" s="82">
        <v>36.799999999999997</v>
      </c>
      <c r="R75" s="82">
        <v>450.6</v>
      </c>
      <c r="S75" s="82">
        <v>511.5</v>
      </c>
      <c r="T75" s="82">
        <v>93.5</v>
      </c>
      <c r="U75" s="82">
        <v>37.43</v>
      </c>
      <c r="V75" s="82">
        <v>157.69999999999999</v>
      </c>
      <c r="W75" s="82">
        <v>2.39</v>
      </c>
      <c r="X75" s="82">
        <v>24.4</v>
      </c>
      <c r="Y75" s="82">
        <v>0.7</v>
      </c>
    </row>
    <row r="76" spans="1:25" s="45" customFormat="1" ht="22.05" customHeight="1" x14ac:dyDescent="0.3">
      <c r="A76" s="20"/>
      <c r="B76" s="230"/>
      <c r="C76" s="224" t="s">
        <v>111</v>
      </c>
      <c r="D76" s="224"/>
      <c r="E76" s="48">
        <v>45</v>
      </c>
      <c r="F76" s="49">
        <f>F147/50*45</f>
        <v>1.5659999999999998</v>
      </c>
      <c r="G76" s="49">
        <f>G147/50*45</f>
        <v>0.28800000000000003</v>
      </c>
      <c r="H76" s="49">
        <f>H147/50*45</f>
        <v>9.629999999999999</v>
      </c>
      <c r="I76" s="49">
        <f>I147/50*45</f>
        <v>60.399000000000001</v>
      </c>
      <c r="J76" s="48" t="s">
        <v>60</v>
      </c>
      <c r="K76" s="133">
        <v>3.64</v>
      </c>
      <c r="L76" s="140"/>
      <c r="M76" s="82">
        <f>M16/40*45</f>
        <v>0.18450000000000003</v>
      </c>
      <c r="N76" s="82">
        <f t="shared" ref="N76:Y76" si="12">N16/40*45</f>
        <v>0.11362500000000002</v>
      </c>
      <c r="O76" s="82">
        <f t="shared" si="12"/>
        <v>0</v>
      </c>
      <c r="P76" s="82">
        <f t="shared" si="12"/>
        <v>2.5200000000000005</v>
      </c>
      <c r="Q76" s="82">
        <f t="shared" si="12"/>
        <v>0.09</v>
      </c>
      <c r="R76" s="82">
        <f t="shared" si="12"/>
        <v>212.84999999999997</v>
      </c>
      <c r="S76" s="82">
        <f t="shared" si="12"/>
        <v>56.25</v>
      </c>
      <c r="T76" s="82">
        <f t="shared" si="12"/>
        <v>2.2050000000000001</v>
      </c>
      <c r="U76" s="82">
        <f t="shared" si="12"/>
        <v>18.45</v>
      </c>
      <c r="V76" s="82">
        <f t="shared" si="12"/>
        <v>58.050000000000004</v>
      </c>
      <c r="W76" s="82">
        <f t="shared" si="12"/>
        <v>1.6199999999999999</v>
      </c>
      <c r="X76" s="82">
        <f t="shared" si="12"/>
        <v>0</v>
      </c>
      <c r="Y76" s="82">
        <f t="shared" si="12"/>
        <v>12.959999999999999</v>
      </c>
    </row>
    <row r="77" spans="1:25" s="45" customFormat="1" ht="22.05" customHeight="1" x14ac:dyDescent="0.3">
      <c r="A77" s="20"/>
      <c r="B77" s="230"/>
      <c r="C77" s="224" t="s">
        <v>115</v>
      </c>
      <c r="D77" s="224"/>
      <c r="E77" s="48">
        <v>28</v>
      </c>
      <c r="F77" s="49">
        <f>F148/40*28</f>
        <v>0.53200000000000003</v>
      </c>
      <c r="G77" s="49">
        <f>G148/40*28</f>
        <v>0.126</v>
      </c>
      <c r="H77" s="49">
        <f>H148/40*28</f>
        <v>7</v>
      </c>
      <c r="I77" s="49">
        <f>I148/40*28</f>
        <v>34.643000000000001</v>
      </c>
      <c r="J77" s="48" t="s">
        <v>60</v>
      </c>
      <c r="K77" s="133">
        <v>2.91</v>
      </c>
      <c r="L77" s="140"/>
      <c r="M77" s="82">
        <f t="shared" ref="M77:Y77" si="13">M17/40*28</f>
        <v>0.11900000000000001</v>
      </c>
      <c r="N77" s="82">
        <f t="shared" si="13"/>
        <v>9.1000000000000011E-2</v>
      </c>
      <c r="O77" s="82">
        <f t="shared" si="13"/>
        <v>0</v>
      </c>
      <c r="P77" s="82">
        <f t="shared" si="13"/>
        <v>1.0640000000000001</v>
      </c>
      <c r="Q77" s="82">
        <f t="shared" si="13"/>
        <v>0.112</v>
      </c>
      <c r="R77" s="82">
        <f t="shared" si="13"/>
        <v>168.83999999999997</v>
      </c>
      <c r="S77" s="82">
        <f t="shared" si="13"/>
        <v>20.439999999999998</v>
      </c>
      <c r="T77" s="82">
        <f t="shared" si="13"/>
        <v>0.33600000000000002</v>
      </c>
      <c r="U77" s="82">
        <f t="shared" si="13"/>
        <v>11.200000000000001</v>
      </c>
      <c r="V77" s="82">
        <f t="shared" si="13"/>
        <v>35</v>
      </c>
      <c r="W77" s="82">
        <f t="shared" si="13"/>
        <v>0.79099999999999993</v>
      </c>
      <c r="X77" s="82">
        <f t="shared" si="13"/>
        <v>0</v>
      </c>
      <c r="Y77" s="82">
        <f t="shared" si="13"/>
        <v>8.6519999999999992</v>
      </c>
    </row>
    <row r="78" spans="1:25" s="45" customFormat="1" ht="22.05" customHeight="1" x14ac:dyDescent="0.3">
      <c r="A78" s="20"/>
      <c r="B78" s="230"/>
      <c r="C78" s="224" t="s">
        <v>199</v>
      </c>
      <c r="D78" s="224"/>
      <c r="E78" s="48">
        <v>200</v>
      </c>
      <c r="F78" s="49">
        <v>0.18</v>
      </c>
      <c r="G78" s="49">
        <v>0.04</v>
      </c>
      <c r="H78" s="49">
        <v>21.74</v>
      </c>
      <c r="I78" s="49">
        <v>82.48</v>
      </c>
      <c r="J78" s="50">
        <v>1201</v>
      </c>
      <c r="K78" s="133">
        <v>8.5299999999999994</v>
      </c>
      <c r="L78" s="133"/>
      <c r="M78" s="82">
        <v>0</v>
      </c>
      <c r="N78" s="82">
        <v>0</v>
      </c>
      <c r="O78" s="82">
        <v>0</v>
      </c>
      <c r="P78" s="82">
        <v>0.04</v>
      </c>
      <c r="Q78" s="82">
        <v>3.57</v>
      </c>
      <c r="R78" s="82">
        <v>3.57</v>
      </c>
      <c r="S78" s="82">
        <v>39.299999999999997</v>
      </c>
      <c r="T78" s="82">
        <v>7.14</v>
      </c>
      <c r="U78" s="82">
        <v>3.57</v>
      </c>
      <c r="V78" s="82">
        <v>3.57</v>
      </c>
      <c r="W78" s="82">
        <v>0</v>
      </c>
      <c r="X78" s="82">
        <v>0</v>
      </c>
      <c r="Y78" s="82">
        <v>0</v>
      </c>
    </row>
    <row r="79" spans="1:25" s="45" customFormat="1" ht="22.05" customHeight="1" x14ac:dyDescent="0.3">
      <c r="B79" s="230"/>
      <c r="C79" s="227" t="s">
        <v>63</v>
      </c>
      <c r="D79" s="227"/>
      <c r="E79" s="64">
        <v>50</v>
      </c>
      <c r="F79" s="58">
        <v>0.7</v>
      </c>
      <c r="G79" s="58">
        <v>3.45</v>
      </c>
      <c r="H79" s="58">
        <v>11.45</v>
      </c>
      <c r="I79" s="58">
        <v>80</v>
      </c>
      <c r="J79" s="59" t="s">
        <v>60</v>
      </c>
      <c r="K79" s="135">
        <v>15</v>
      </c>
      <c r="L79" s="193"/>
      <c r="M79" s="128">
        <v>0.06</v>
      </c>
      <c r="N79" s="82">
        <v>0.04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19.28</v>
      </c>
      <c r="U79" s="82">
        <v>0</v>
      </c>
      <c r="V79" s="82">
        <v>0</v>
      </c>
      <c r="W79" s="82">
        <v>1.04</v>
      </c>
      <c r="X79" s="82">
        <v>0</v>
      </c>
      <c r="Y79" s="82">
        <v>0</v>
      </c>
    </row>
    <row r="80" spans="1:25" s="45" customFormat="1" ht="22.05" customHeight="1" x14ac:dyDescent="0.3">
      <c r="A80" s="14"/>
      <c r="B80" s="43"/>
      <c r="C80" s="228" t="s">
        <v>105</v>
      </c>
      <c r="D80" s="228"/>
      <c r="E80" s="44">
        <f>SUM(E74:E79)</f>
        <v>673</v>
      </c>
      <c r="F80" s="55">
        <f>SUM(F74:F79)</f>
        <v>8.9979999999999976</v>
      </c>
      <c r="G80" s="55">
        <f>SUM(G74:G79)</f>
        <v>30.523999999999997</v>
      </c>
      <c r="H80" s="55">
        <f>SUM(H74:H79)</f>
        <v>73.78</v>
      </c>
      <c r="I80" s="55">
        <f>SUM(I74:I79)</f>
        <v>626.92200000000003</v>
      </c>
      <c r="J80" s="55"/>
      <c r="K80" s="55">
        <f>SUM(K74:K79)</f>
        <v>116.53999999999999</v>
      </c>
      <c r="L80" s="140"/>
      <c r="M80" s="102">
        <f t="shared" ref="M80:Y80" si="14">SUM(M74:M79)</f>
        <v>0.54350000000000009</v>
      </c>
      <c r="N80" s="102">
        <f t="shared" si="14"/>
        <v>0.54462500000000003</v>
      </c>
      <c r="O80" s="102">
        <f t="shared" si="14"/>
        <v>303.60000000000002</v>
      </c>
      <c r="P80" s="102">
        <f t="shared" si="14"/>
        <v>13.904</v>
      </c>
      <c r="Q80" s="102">
        <f t="shared" si="14"/>
        <v>77.371999999999986</v>
      </c>
      <c r="R80" s="102">
        <f t="shared" si="14"/>
        <v>1286.4599999999998</v>
      </c>
      <c r="S80" s="102">
        <f t="shared" si="14"/>
        <v>1138.99</v>
      </c>
      <c r="T80" s="102">
        <f t="shared" si="14"/>
        <v>215.96100000000001</v>
      </c>
      <c r="U80" s="102">
        <f t="shared" si="14"/>
        <v>108.08</v>
      </c>
      <c r="V80" s="102">
        <f t="shared" si="14"/>
        <v>412.02</v>
      </c>
      <c r="W80" s="102">
        <f t="shared" si="14"/>
        <v>8.2310000000000016</v>
      </c>
      <c r="X80" s="102">
        <f t="shared" si="14"/>
        <v>48.8</v>
      </c>
      <c r="Y80" s="102">
        <f t="shared" si="14"/>
        <v>23.012</v>
      </c>
    </row>
    <row r="81" spans="1:25" s="45" customFormat="1" ht="22.05" customHeight="1" x14ac:dyDescent="0.3">
      <c r="A81" s="14"/>
      <c r="B81" s="35"/>
      <c r="C81" s="86"/>
      <c r="D81" s="86"/>
      <c r="E81" s="14"/>
      <c r="F81" s="14"/>
      <c r="G81" s="14"/>
      <c r="H81" s="14"/>
      <c r="I81" s="14"/>
      <c r="J81" s="14"/>
      <c r="K81" s="126"/>
      <c r="L81" s="147"/>
    </row>
    <row r="82" spans="1:25" s="45" customFormat="1" ht="22.05" customHeight="1" x14ac:dyDescent="0.3">
      <c r="A82" s="20"/>
      <c r="B82" s="226"/>
      <c r="C82" s="226"/>
      <c r="D82" s="226"/>
      <c r="E82" s="21"/>
      <c r="F82" s="21"/>
      <c r="G82" s="21"/>
      <c r="H82" s="21"/>
      <c r="I82" s="21"/>
      <c r="J82" s="21"/>
      <c r="K82" s="126"/>
      <c r="L82" s="147"/>
    </row>
    <row r="83" spans="1:25" s="45" customFormat="1" ht="22.05" customHeight="1" x14ac:dyDescent="0.3">
      <c r="A83" s="20"/>
      <c r="B83" s="225" t="s">
        <v>59</v>
      </c>
      <c r="C83" s="225"/>
      <c r="D83" s="225"/>
      <c r="E83" s="225"/>
      <c r="F83" s="225"/>
      <c r="G83" s="225"/>
      <c r="H83" s="225"/>
      <c r="I83" s="225"/>
      <c r="J83" s="225"/>
      <c r="K83" s="225"/>
      <c r="L83" s="147"/>
      <c r="M83" s="260"/>
      <c r="N83" s="260"/>
      <c r="O83" s="260"/>
      <c r="P83" s="260"/>
      <c r="Q83" s="260"/>
      <c r="R83" s="260"/>
      <c r="S83" s="260"/>
      <c r="T83" s="260"/>
      <c r="U83" s="260"/>
      <c r="V83" s="260"/>
      <c r="W83" s="260"/>
      <c r="X83" s="260"/>
      <c r="Y83" s="260"/>
    </row>
    <row r="84" spans="1:25" s="45" customFormat="1" ht="22.05" customHeight="1" x14ac:dyDescent="0.3">
      <c r="A84" s="20"/>
      <c r="B84" s="231" t="s">
        <v>70</v>
      </c>
      <c r="C84" s="225" t="s">
        <v>1</v>
      </c>
      <c r="D84" s="225"/>
      <c r="E84" s="231" t="s">
        <v>71</v>
      </c>
      <c r="F84" s="225" t="s">
        <v>3</v>
      </c>
      <c r="G84" s="225"/>
      <c r="H84" s="225"/>
      <c r="I84" s="231" t="s">
        <v>142</v>
      </c>
      <c r="J84" s="225" t="s">
        <v>72</v>
      </c>
      <c r="K84" s="225" t="s">
        <v>180</v>
      </c>
      <c r="L84" s="143"/>
      <c r="M84" s="260" t="s">
        <v>156</v>
      </c>
      <c r="N84" s="260"/>
      <c r="O84" s="260"/>
      <c r="P84" s="260"/>
      <c r="Q84" s="260"/>
      <c r="R84" s="260"/>
      <c r="S84" s="260"/>
      <c r="T84" s="260"/>
      <c r="U84" s="260"/>
      <c r="V84" s="260"/>
      <c r="W84" s="260"/>
      <c r="X84" s="260"/>
      <c r="Y84" s="260"/>
    </row>
    <row r="85" spans="1:25" s="45" customFormat="1" ht="42.6" customHeight="1" x14ac:dyDescent="0.3">
      <c r="A85" s="20"/>
      <c r="B85" s="231"/>
      <c r="C85" s="225"/>
      <c r="D85" s="225"/>
      <c r="E85" s="231"/>
      <c r="F85" s="213" t="s">
        <v>139</v>
      </c>
      <c r="G85" s="213" t="s">
        <v>140</v>
      </c>
      <c r="H85" s="213" t="s">
        <v>141</v>
      </c>
      <c r="I85" s="231"/>
      <c r="J85" s="225"/>
      <c r="K85" s="225"/>
      <c r="L85" s="144"/>
      <c r="M85" s="262" t="s">
        <v>90</v>
      </c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</row>
    <row r="86" spans="1:25" s="47" customFormat="1" ht="22.05" customHeight="1" x14ac:dyDescent="0.3">
      <c r="A86" s="14"/>
      <c r="B86" s="229" t="s">
        <v>90</v>
      </c>
      <c r="C86" s="229"/>
      <c r="D86" s="229"/>
      <c r="E86" s="229"/>
      <c r="F86" s="229"/>
      <c r="G86" s="229"/>
      <c r="H86" s="229"/>
      <c r="I86" s="229"/>
      <c r="J86" s="229"/>
      <c r="K86" s="229"/>
      <c r="L86" s="141"/>
      <c r="M86" s="80" t="s">
        <v>143</v>
      </c>
      <c r="N86" s="80" t="s">
        <v>144</v>
      </c>
      <c r="O86" s="80" t="s">
        <v>145</v>
      </c>
      <c r="P86" s="80" t="s">
        <v>147</v>
      </c>
      <c r="Q86" s="80" t="s">
        <v>146</v>
      </c>
      <c r="R86" s="80" t="s">
        <v>148</v>
      </c>
      <c r="S86" s="80" t="s">
        <v>149</v>
      </c>
      <c r="T86" s="80" t="s">
        <v>150</v>
      </c>
      <c r="U86" s="80" t="s">
        <v>151</v>
      </c>
      <c r="V86" s="80" t="s">
        <v>152</v>
      </c>
      <c r="W86" s="80" t="s">
        <v>153</v>
      </c>
      <c r="X86" s="80" t="s">
        <v>154</v>
      </c>
      <c r="Y86" s="80" t="s">
        <v>155</v>
      </c>
    </row>
    <row r="87" spans="1:25" s="45" customFormat="1" ht="28.2" customHeight="1" x14ac:dyDescent="0.3">
      <c r="A87" s="20"/>
      <c r="B87" s="263" t="s">
        <v>9</v>
      </c>
      <c r="C87" s="224" t="s">
        <v>104</v>
      </c>
      <c r="D87" s="224"/>
      <c r="E87" s="48">
        <v>100</v>
      </c>
      <c r="F87" s="49">
        <v>3.7</v>
      </c>
      <c r="G87" s="49">
        <v>9.1</v>
      </c>
      <c r="H87" s="49">
        <v>4.4000000000000004</v>
      </c>
      <c r="I87" s="49">
        <v>114</v>
      </c>
      <c r="J87" s="50">
        <v>7</v>
      </c>
      <c r="K87" s="133">
        <v>11.06</v>
      </c>
      <c r="L87" s="133"/>
      <c r="M87" s="82">
        <v>0.06</v>
      </c>
      <c r="N87" s="82">
        <v>0.1</v>
      </c>
      <c r="O87" s="82">
        <v>25</v>
      </c>
      <c r="P87" s="82">
        <v>0</v>
      </c>
      <c r="Q87" s="82">
        <v>9.83</v>
      </c>
      <c r="R87" s="82">
        <v>0</v>
      </c>
      <c r="S87" s="82">
        <v>0</v>
      </c>
      <c r="T87" s="82">
        <v>37.270000000000003</v>
      </c>
      <c r="U87" s="82">
        <v>15.27</v>
      </c>
      <c r="V87" s="82">
        <v>65.98</v>
      </c>
      <c r="W87" s="82">
        <v>0.82</v>
      </c>
      <c r="X87" s="82">
        <v>0</v>
      </c>
      <c r="Y87" s="82">
        <v>0</v>
      </c>
    </row>
    <row r="88" spans="1:25" s="45" customFormat="1" ht="22.05" customHeight="1" x14ac:dyDescent="0.3">
      <c r="B88" s="264"/>
      <c r="C88" s="235" t="s">
        <v>10</v>
      </c>
      <c r="D88" s="235"/>
      <c r="E88" s="57">
        <v>200</v>
      </c>
      <c r="F88" s="58">
        <v>11</v>
      </c>
      <c r="G88" s="58">
        <v>9.6999999999999993</v>
      </c>
      <c r="H88" s="58">
        <v>57</v>
      </c>
      <c r="I88" s="58">
        <v>350</v>
      </c>
      <c r="J88" s="59" t="s">
        <v>62</v>
      </c>
      <c r="K88" s="135">
        <v>14.27</v>
      </c>
      <c r="L88" s="137"/>
      <c r="M88" s="82">
        <v>0.28000000000000003</v>
      </c>
      <c r="N88" s="82">
        <v>0.16</v>
      </c>
      <c r="O88" s="82">
        <v>36.700000000000003</v>
      </c>
      <c r="P88" s="82">
        <v>5.31</v>
      </c>
      <c r="Q88" s="82">
        <v>0</v>
      </c>
      <c r="R88" s="82">
        <v>199</v>
      </c>
      <c r="S88" s="82">
        <v>292</v>
      </c>
      <c r="T88" s="82">
        <v>18.7</v>
      </c>
      <c r="U88" s="82">
        <v>160</v>
      </c>
      <c r="V88" s="82">
        <v>240</v>
      </c>
      <c r="W88" s="82">
        <v>5.3</v>
      </c>
      <c r="X88" s="82">
        <v>29.7</v>
      </c>
      <c r="Y88" s="82">
        <v>4.7</v>
      </c>
    </row>
    <row r="89" spans="1:25" s="113" customFormat="1" ht="22.05" customHeight="1" x14ac:dyDescent="0.3">
      <c r="A89" s="20"/>
      <c r="B89" s="264"/>
      <c r="C89" s="224" t="s">
        <v>189</v>
      </c>
      <c r="D89" s="224"/>
      <c r="E89" s="48">
        <v>120</v>
      </c>
      <c r="F89" s="49">
        <v>11.78</v>
      </c>
      <c r="G89" s="49">
        <v>4.45</v>
      </c>
      <c r="H89" s="49">
        <v>3.22</v>
      </c>
      <c r="I89" s="49">
        <v>118.6</v>
      </c>
      <c r="J89" s="50">
        <v>311</v>
      </c>
      <c r="K89" s="133">
        <v>47.01</v>
      </c>
      <c r="L89" s="133"/>
      <c r="M89" s="112">
        <v>0.1</v>
      </c>
      <c r="N89" s="112">
        <v>0.12</v>
      </c>
      <c r="O89" s="112">
        <v>74.97</v>
      </c>
      <c r="P89" s="112">
        <v>4.6500000000000004</v>
      </c>
      <c r="Q89" s="112">
        <v>2.87</v>
      </c>
      <c r="R89" s="112">
        <v>275.26</v>
      </c>
      <c r="S89" s="112">
        <v>4.3099999999999996</v>
      </c>
      <c r="T89" s="112">
        <v>14.73</v>
      </c>
      <c r="U89" s="112">
        <v>17.13</v>
      </c>
      <c r="V89" s="112">
        <v>126.65</v>
      </c>
      <c r="W89" s="112">
        <v>1.1100000000000001</v>
      </c>
      <c r="X89" s="112">
        <v>39.090000000000003</v>
      </c>
      <c r="Y89" s="112">
        <v>0</v>
      </c>
    </row>
    <row r="90" spans="1:25" s="45" customFormat="1" ht="22.05" customHeight="1" x14ac:dyDescent="0.3">
      <c r="A90" s="20"/>
      <c r="B90" s="264"/>
      <c r="C90" s="224" t="s">
        <v>111</v>
      </c>
      <c r="D90" s="224"/>
      <c r="E90" s="48">
        <v>44</v>
      </c>
      <c r="F90" s="49">
        <f>F147/50*44</f>
        <v>1.5311999999999999</v>
      </c>
      <c r="G90" s="49">
        <f>G147/50*44</f>
        <v>0.28160000000000002</v>
      </c>
      <c r="H90" s="49">
        <f>H147/50*44</f>
        <v>9.4160000000000004</v>
      </c>
      <c r="I90" s="49">
        <f>I147/50*44</f>
        <v>59.056800000000003</v>
      </c>
      <c r="J90" s="48" t="s">
        <v>60</v>
      </c>
      <c r="K90" s="133">
        <v>4.09</v>
      </c>
      <c r="L90" s="133"/>
      <c r="M90" s="82">
        <f t="shared" ref="M90:Y90" si="15">M16/40*44</f>
        <v>0.1804</v>
      </c>
      <c r="N90" s="82">
        <f t="shared" si="15"/>
        <v>0.11110000000000002</v>
      </c>
      <c r="O90" s="82">
        <f t="shared" si="15"/>
        <v>0</v>
      </c>
      <c r="P90" s="82">
        <f t="shared" si="15"/>
        <v>2.4640000000000004</v>
      </c>
      <c r="Q90" s="82">
        <f t="shared" si="15"/>
        <v>8.7999999999999995E-2</v>
      </c>
      <c r="R90" s="82">
        <f t="shared" si="15"/>
        <v>208.11999999999998</v>
      </c>
      <c r="S90" s="82">
        <f t="shared" si="15"/>
        <v>55</v>
      </c>
      <c r="T90" s="82">
        <f t="shared" si="15"/>
        <v>2.1560000000000001</v>
      </c>
      <c r="U90" s="82">
        <f t="shared" si="15"/>
        <v>18.04</v>
      </c>
      <c r="V90" s="82">
        <f t="shared" si="15"/>
        <v>56.760000000000005</v>
      </c>
      <c r="W90" s="82">
        <f t="shared" si="15"/>
        <v>1.5839999999999999</v>
      </c>
      <c r="X90" s="82">
        <f t="shared" si="15"/>
        <v>0</v>
      </c>
      <c r="Y90" s="82">
        <f t="shared" si="15"/>
        <v>12.671999999999999</v>
      </c>
    </row>
    <row r="91" spans="1:25" s="45" customFormat="1" ht="22.05" customHeight="1" x14ac:dyDescent="0.3">
      <c r="A91" s="20"/>
      <c r="B91" s="264"/>
      <c r="C91" s="224" t="s">
        <v>115</v>
      </c>
      <c r="D91" s="224"/>
      <c r="E91" s="48">
        <v>34</v>
      </c>
      <c r="F91" s="49">
        <f>F148/40*34</f>
        <v>0.64600000000000002</v>
      </c>
      <c r="G91" s="49">
        <f>G148/40*34</f>
        <v>0.153</v>
      </c>
      <c r="H91" s="49">
        <f>H148/40*34</f>
        <v>8.5</v>
      </c>
      <c r="I91" s="49">
        <f>I148/40*34</f>
        <v>42.066499999999998</v>
      </c>
      <c r="J91" s="48" t="s">
        <v>60</v>
      </c>
      <c r="K91" s="133">
        <v>4</v>
      </c>
      <c r="L91" s="133"/>
      <c r="M91" s="82">
        <f t="shared" ref="M91:Y91" si="16">M17/40*34</f>
        <v>0.14450000000000002</v>
      </c>
      <c r="N91" s="82">
        <f t="shared" si="16"/>
        <v>0.11050000000000001</v>
      </c>
      <c r="O91" s="82">
        <f t="shared" si="16"/>
        <v>0</v>
      </c>
      <c r="P91" s="82">
        <f t="shared" si="16"/>
        <v>1.292</v>
      </c>
      <c r="Q91" s="82">
        <f t="shared" si="16"/>
        <v>0.13600000000000001</v>
      </c>
      <c r="R91" s="82">
        <f t="shared" si="16"/>
        <v>205.01999999999998</v>
      </c>
      <c r="S91" s="82">
        <f t="shared" si="16"/>
        <v>24.82</v>
      </c>
      <c r="T91" s="82">
        <f t="shared" si="16"/>
        <v>0.40800000000000003</v>
      </c>
      <c r="U91" s="82">
        <f t="shared" si="16"/>
        <v>13.600000000000001</v>
      </c>
      <c r="V91" s="82">
        <f t="shared" si="16"/>
        <v>42.5</v>
      </c>
      <c r="W91" s="82">
        <f t="shared" si="16"/>
        <v>0.96049999999999991</v>
      </c>
      <c r="X91" s="82">
        <f t="shared" si="16"/>
        <v>0</v>
      </c>
      <c r="Y91" s="82">
        <f t="shared" si="16"/>
        <v>10.506</v>
      </c>
    </row>
    <row r="92" spans="1:25" s="45" customFormat="1" ht="22.05" customHeight="1" x14ac:dyDescent="0.3">
      <c r="A92" s="20"/>
      <c r="B92" s="264"/>
      <c r="C92" s="224" t="s">
        <v>204</v>
      </c>
      <c r="D92" s="224"/>
      <c r="E92" s="48">
        <v>200</v>
      </c>
      <c r="F92" s="49">
        <v>0.2</v>
      </c>
      <c r="G92" s="49">
        <v>0</v>
      </c>
      <c r="H92" s="49">
        <v>6.4</v>
      </c>
      <c r="I92" s="49">
        <v>26.4</v>
      </c>
      <c r="J92" s="50" t="s">
        <v>22</v>
      </c>
      <c r="K92" s="133">
        <v>1.25</v>
      </c>
      <c r="L92" s="133"/>
      <c r="M92" s="82">
        <v>0</v>
      </c>
      <c r="N92" s="82">
        <v>0</v>
      </c>
      <c r="O92" s="82">
        <v>0</v>
      </c>
      <c r="P92" s="82">
        <v>0.1</v>
      </c>
      <c r="Q92" s="82">
        <v>0</v>
      </c>
      <c r="R92" s="82">
        <v>1</v>
      </c>
      <c r="S92" s="82">
        <v>25</v>
      </c>
      <c r="T92" s="82">
        <v>4</v>
      </c>
      <c r="U92" s="82">
        <v>4</v>
      </c>
      <c r="V92" s="82">
        <v>7</v>
      </c>
      <c r="W92" s="82">
        <v>1</v>
      </c>
      <c r="X92" s="82">
        <v>0</v>
      </c>
      <c r="Y92" s="82">
        <v>0</v>
      </c>
    </row>
    <row r="93" spans="1:25" s="47" customFormat="1" ht="22.05" customHeight="1" x14ac:dyDescent="0.3">
      <c r="A93" s="46"/>
      <c r="B93" s="264"/>
      <c r="C93" s="233" t="s">
        <v>41</v>
      </c>
      <c r="D93" s="234"/>
      <c r="E93" s="51">
        <v>200</v>
      </c>
      <c r="F93" s="52">
        <v>1.1000000000000001</v>
      </c>
      <c r="G93" s="52">
        <v>0.22</v>
      </c>
      <c r="H93" s="52">
        <v>25</v>
      </c>
      <c r="I93" s="52">
        <v>110</v>
      </c>
      <c r="J93" s="53" t="s">
        <v>60</v>
      </c>
      <c r="K93" s="134">
        <v>36</v>
      </c>
      <c r="L93" s="134"/>
      <c r="M93" s="122">
        <v>0.02</v>
      </c>
      <c r="N93" s="122">
        <v>0.02</v>
      </c>
      <c r="O93" s="122">
        <v>0</v>
      </c>
      <c r="P93" s="122">
        <v>0.04</v>
      </c>
      <c r="Q93" s="122">
        <v>4</v>
      </c>
      <c r="R93" s="122">
        <v>12</v>
      </c>
      <c r="S93" s="122">
        <v>240</v>
      </c>
      <c r="T93" s="122">
        <v>14</v>
      </c>
      <c r="U93" s="122">
        <v>8</v>
      </c>
      <c r="V93" s="122">
        <v>14</v>
      </c>
      <c r="W93" s="122">
        <v>2.8</v>
      </c>
      <c r="X93" s="122">
        <v>2</v>
      </c>
      <c r="Y93" s="122">
        <v>0</v>
      </c>
    </row>
    <row r="94" spans="1:25" s="45" customFormat="1" ht="22.05" customHeight="1" x14ac:dyDescent="0.3">
      <c r="A94" s="20"/>
      <c r="B94" s="42"/>
      <c r="C94" s="228" t="s">
        <v>105</v>
      </c>
      <c r="D94" s="228"/>
      <c r="E94" s="44">
        <f>SUM(E87:E93)</f>
        <v>898</v>
      </c>
      <c r="F94" s="55">
        <f>SUM(F87:F93)</f>
        <v>29.957199999999997</v>
      </c>
      <c r="G94" s="55">
        <f>SUM(G87:G93)</f>
        <v>23.904599999999995</v>
      </c>
      <c r="H94" s="55">
        <f>SUM(H87:H93)</f>
        <v>113.93600000000001</v>
      </c>
      <c r="I94" s="55">
        <f>SUM(I87:I93)</f>
        <v>820.12329999999997</v>
      </c>
      <c r="J94" s="44"/>
      <c r="K94" s="55">
        <f>SUM(K88:K93)</f>
        <v>106.62</v>
      </c>
      <c r="L94" s="133"/>
      <c r="M94" s="102">
        <f t="shared" ref="M94:Y94" si="17">SUM(M87:M93)</f>
        <v>0.78490000000000015</v>
      </c>
      <c r="N94" s="102">
        <f t="shared" si="17"/>
        <v>0.62160000000000004</v>
      </c>
      <c r="O94" s="102">
        <f t="shared" si="17"/>
        <v>136.67000000000002</v>
      </c>
      <c r="P94" s="102">
        <f t="shared" si="17"/>
        <v>13.856</v>
      </c>
      <c r="Q94" s="102">
        <f t="shared" si="17"/>
        <v>16.923999999999999</v>
      </c>
      <c r="R94" s="102">
        <f t="shared" si="17"/>
        <v>900.4</v>
      </c>
      <c r="S94" s="102">
        <f t="shared" si="17"/>
        <v>641.13</v>
      </c>
      <c r="T94" s="102">
        <f t="shared" si="17"/>
        <v>91.26400000000001</v>
      </c>
      <c r="U94" s="102">
        <f t="shared" si="17"/>
        <v>236.04</v>
      </c>
      <c r="V94" s="102">
        <f t="shared" si="17"/>
        <v>552.89</v>
      </c>
      <c r="W94" s="102">
        <f t="shared" si="17"/>
        <v>13.5745</v>
      </c>
      <c r="X94" s="102">
        <f t="shared" si="17"/>
        <v>70.790000000000006</v>
      </c>
      <c r="Y94" s="102">
        <f t="shared" si="17"/>
        <v>27.878</v>
      </c>
    </row>
    <row r="95" spans="1:25" s="113" customFormat="1" ht="22.05" customHeight="1" x14ac:dyDescent="0.3">
      <c r="A95" s="20"/>
      <c r="B95" s="181"/>
      <c r="C95" s="37"/>
      <c r="D95" s="37"/>
      <c r="E95" s="93"/>
      <c r="F95" s="94"/>
      <c r="G95" s="94"/>
      <c r="H95" s="94"/>
      <c r="I95" s="94"/>
      <c r="J95" s="93"/>
      <c r="K95" s="91"/>
      <c r="L95" s="91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</row>
    <row r="96" spans="1:25" s="47" customFormat="1" ht="22.05" customHeight="1" x14ac:dyDescent="0.3">
      <c r="A96" s="14"/>
      <c r="B96" s="35"/>
      <c r="C96" s="178"/>
      <c r="D96" s="178"/>
      <c r="E96" s="14"/>
      <c r="F96" s="36"/>
      <c r="G96" s="36"/>
      <c r="H96" s="36"/>
      <c r="I96" s="36"/>
      <c r="J96" s="14"/>
      <c r="K96" s="61"/>
      <c r="L96" s="61"/>
    </row>
    <row r="97" spans="1:25" s="45" customFormat="1" ht="22.05" customHeight="1" x14ac:dyDescent="0.3">
      <c r="A97" s="20"/>
      <c r="B97" s="225" t="s">
        <v>59</v>
      </c>
      <c r="C97" s="225"/>
      <c r="D97" s="225"/>
      <c r="E97" s="225"/>
      <c r="F97" s="225"/>
      <c r="G97" s="225"/>
      <c r="H97" s="225"/>
      <c r="I97" s="225"/>
      <c r="J97" s="225"/>
      <c r="K97" s="225"/>
      <c r="L97" s="147"/>
      <c r="M97" s="260"/>
      <c r="N97" s="260"/>
      <c r="O97" s="260"/>
      <c r="P97" s="260"/>
      <c r="Q97" s="260"/>
      <c r="R97" s="260"/>
      <c r="S97" s="260"/>
      <c r="T97" s="260"/>
      <c r="U97" s="260"/>
      <c r="V97" s="260"/>
      <c r="W97" s="260"/>
      <c r="X97" s="260"/>
      <c r="Y97" s="260"/>
    </row>
    <row r="98" spans="1:25" s="45" customFormat="1" ht="22.05" customHeight="1" x14ac:dyDescent="0.3">
      <c r="A98" s="20"/>
      <c r="B98" s="231" t="s">
        <v>70</v>
      </c>
      <c r="C98" s="225" t="s">
        <v>1</v>
      </c>
      <c r="D98" s="225"/>
      <c r="E98" s="231" t="s">
        <v>71</v>
      </c>
      <c r="F98" s="225" t="s">
        <v>3</v>
      </c>
      <c r="G98" s="225"/>
      <c r="H98" s="225"/>
      <c r="I98" s="231" t="s">
        <v>142</v>
      </c>
      <c r="J98" s="225" t="s">
        <v>72</v>
      </c>
      <c r="K98" s="225" t="s">
        <v>180</v>
      </c>
      <c r="L98" s="143"/>
      <c r="M98" s="260" t="s">
        <v>156</v>
      </c>
      <c r="N98" s="260"/>
      <c r="O98" s="260"/>
      <c r="P98" s="260"/>
      <c r="Q98" s="260"/>
      <c r="R98" s="260"/>
      <c r="S98" s="260"/>
      <c r="T98" s="260"/>
      <c r="U98" s="260"/>
      <c r="V98" s="260"/>
      <c r="W98" s="260"/>
      <c r="X98" s="260"/>
      <c r="Y98" s="260"/>
    </row>
    <row r="99" spans="1:25" s="45" customFormat="1" ht="43.8" customHeight="1" x14ac:dyDescent="0.3">
      <c r="A99" s="20"/>
      <c r="B99" s="231"/>
      <c r="C99" s="225"/>
      <c r="D99" s="225"/>
      <c r="E99" s="231"/>
      <c r="F99" s="213" t="s">
        <v>139</v>
      </c>
      <c r="G99" s="213" t="s">
        <v>140</v>
      </c>
      <c r="H99" s="213" t="s">
        <v>141</v>
      </c>
      <c r="I99" s="231"/>
      <c r="J99" s="225"/>
      <c r="K99" s="225"/>
      <c r="L99" s="144"/>
      <c r="M99" s="262" t="s">
        <v>76</v>
      </c>
      <c r="N99" s="262"/>
      <c r="O99" s="262"/>
      <c r="P99" s="262"/>
      <c r="Q99" s="262"/>
      <c r="R99" s="262"/>
      <c r="S99" s="262"/>
      <c r="T99" s="262"/>
      <c r="U99" s="262"/>
      <c r="V99" s="262"/>
      <c r="W99" s="262"/>
      <c r="X99" s="262"/>
      <c r="Y99" s="262"/>
    </row>
    <row r="100" spans="1:25" s="45" customFormat="1" ht="22.05" customHeight="1" x14ac:dyDescent="0.3">
      <c r="A100" s="20"/>
      <c r="B100" s="229" t="s">
        <v>76</v>
      </c>
      <c r="C100" s="229"/>
      <c r="D100" s="229"/>
      <c r="E100" s="229"/>
      <c r="F100" s="229"/>
      <c r="G100" s="229"/>
      <c r="H100" s="229"/>
      <c r="I100" s="229"/>
      <c r="J100" s="229"/>
      <c r="K100" s="229"/>
      <c r="L100" s="141"/>
      <c r="M100" s="81" t="s">
        <v>143</v>
      </c>
      <c r="N100" s="81" t="s">
        <v>144</v>
      </c>
      <c r="O100" s="81" t="s">
        <v>145</v>
      </c>
      <c r="P100" s="81" t="s">
        <v>147</v>
      </c>
      <c r="Q100" s="81" t="s">
        <v>146</v>
      </c>
      <c r="R100" s="81" t="s">
        <v>148</v>
      </c>
      <c r="S100" s="81" t="s">
        <v>149</v>
      </c>
      <c r="T100" s="81" t="s">
        <v>150</v>
      </c>
      <c r="U100" s="81" t="s">
        <v>151</v>
      </c>
      <c r="V100" s="81" t="s">
        <v>152</v>
      </c>
      <c r="W100" s="81" t="s">
        <v>153</v>
      </c>
      <c r="X100" s="81" t="s">
        <v>154</v>
      </c>
      <c r="Y100" s="81" t="s">
        <v>155</v>
      </c>
    </row>
    <row r="101" spans="1:25" s="45" customFormat="1" ht="22.05" customHeight="1" x14ac:dyDescent="0.3">
      <c r="B101" s="242" t="s">
        <v>4</v>
      </c>
      <c r="C101" s="227" t="s">
        <v>200</v>
      </c>
      <c r="D101" s="227"/>
      <c r="E101" s="57">
        <v>90</v>
      </c>
      <c r="F101" s="58">
        <v>2.1</v>
      </c>
      <c r="G101" s="58">
        <v>6.5</v>
      </c>
      <c r="H101" s="58">
        <v>10.5</v>
      </c>
      <c r="I101" s="58">
        <v>107.6</v>
      </c>
      <c r="J101" s="59" t="s">
        <v>201</v>
      </c>
      <c r="K101" s="135">
        <v>12.07</v>
      </c>
      <c r="L101" s="137"/>
      <c r="M101" s="82">
        <v>0.03</v>
      </c>
      <c r="N101" s="82">
        <v>0.02</v>
      </c>
      <c r="O101" s="82">
        <v>0</v>
      </c>
      <c r="P101" s="82">
        <v>0.3</v>
      </c>
      <c r="Q101" s="82">
        <v>6</v>
      </c>
      <c r="R101" s="82">
        <v>211.5</v>
      </c>
      <c r="S101" s="82">
        <v>223.5</v>
      </c>
      <c r="T101" s="82">
        <v>33</v>
      </c>
      <c r="U101" s="82">
        <v>27</v>
      </c>
      <c r="V101" s="82">
        <v>48</v>
      </c>
      <c r="W101" s="82">
        <v>1.5</v>
      </c>
      <c r="X101" s="82">
        <v>17.100000000000001</v>
      </c>
      <c r="Y101" s="82">
        <v>0.6</v>
      </c>
    </row>
    <row r="102" spans="1:25" s="113" customFormat="1" ht="22.05" customHeight="1" x14ac:dyDescent="0.3">
      <c r="A102" s="20"/>
      <c r="B102" s="242"/>
      <c r="C102" s="232" t="s">
        <v>33</v>
      </c>
      <c r="D102" s="232"/>
      <c r="E102" s="48">
        <v>180</v>
      </c>
      <c r="F102" s="49">
        <v>3.6</v>
      </c>
      <c r="G102" s="49">
        <v>6.84</v>
      </c>
      <c r="H102" s="49">
        <v>28.44</v>
      </c>
      <c r="I102" s="49">
        <v>189.96</v>
      </c>
      <c r="J102" s="50" t="s">
        <v>210</v>
      </c>
      <c r="K102" s="133">
        <v>34.68</v>
      </c>
      <c r="L102" s="133"/>
      <c r="M102" s="82">
        <v>0.14000000000000001</v>
      </c>
      <c r="N102" s="82">
        <v>0.08</v>
      </c>
      <c r="O102" s="82">
        <v>27.6</v>
      </c>
      <c r="P102" s="82">
        <v>1.1000000000000001</v>
      </c>
      <c r="Q102" s="82">
        <v>12</v>
      </c>
      <c r="R102" s="82">
        <v>287</v>
      </c>
      <c r="S102" s="82">
        <v>904</v>
      </c>
      <c r="T102" s="82">
        <v>48</v>
      </c>
      <c r="U102" s="82">
        <v>34</v>
      </c>
      <c r="V102" s="82">
        <v>101</v>
      </c>
      <c r="W102" s="82">
        <v>1</v>
      </c>
      <c r="X102" s="82">
        <v>34.200000000000003</v>
      </c>
      <c r="Y102" s="82">
        <v>1</v>
      </c>
    </row>
    <row r="103" spans="1:25" s="113" customFormat="1" ht="22.05" customHeight="1" x14ac:dyDescent="0.3">
      <c r="A103" s="20"/>
      <c r="B103" s="242"/>
      <c r="C103" s="232" t="s">
        <v>202</v>
      </c>
      <c r="D103" s="232"/>
      <c r="E103" s="48">
        <v>100</v>
      </c>
      <c r="F103" s="49">
        <v>13.1</v>
      </c>
      <c r="G103" s="49">
        <v>7.5</v>
      </c>
      <c r="H103" s="49">
        <v>3.1</v>
      </c>
      <c r="I103" s="49">
        <v>132.9</v>
      </c>
      <c r="J103" s="50" t="s">
        <v>203</v>
      </c>
      <c r="K103" s="133">
        <v>43.38</v>
      </c>
      <c r="L103" s="133"/>
      <c r="M103" s="112">
        <v>0.08</v>
      </c>
      <c r="N103" s="112">
        <v>0.14000000000000001</v>
      </c>
      <c r="O103" s="112">
        <v>8.6</v>
      </c>
      <c r="P103" s="112">
        <v>0.8</v>
      </c>
      <c r="Q103" s="112">
        <v>1.3</v>
      </c>
      <c r="R103" s="112">
        <v>114</v>
      </c>
      <c r="S103" s="112">
        <v>424</v>
      </c>
      <c r="T103" s="112">
        <v>40</v>
      </c>
      <c r="U103" s="112">
        <v>46</v>
      </c>
      <c r="V103" s="112">
        <v>35</v>
      </c>
      <c r="W103" s="112">
        <v>0</v>
      </c>
      <c r="X103" s="112">
        <v>133.5</v>
      </c>
      <c r="Y103" s="112">
        <v>12</v>
      </c>
    </row>
    <row r="104" spans="1:25" s="45" customFormat="1" ht="22.05" customHeight="1" x14ac:dyDescent="0.3">
      <c r="A104" s="20"/>
      <c r="B104" s="242"/>
      <c r="C104" s="224" t="s">
        <v>111</v>
      </c>
      <c r="D104" s="224"/>
      <c r="E104" s="48">
        <v>40</v>
      </c>
      <c r="F104" s="49">
        <f>F147/50*40</f>
        <v>1.3919999999999999</v>
      </c>
      <c r="G104" s="49">
        <f>G147/50*40</f>
        <v>0.25600000000000001</v>
      </c>
      <c r="H104" s="49">
        <f>H147/50*40</f>
        <v>8.56</v>
      </c>
      <c r="I104" s="49">
        <f>I147/50*40</f>
        <v>53.688000000000002</v>
      </c>
      <c r="J104" s="48" t="s">
        <v>60</v>
      </c>
      <c r="K104" s="133">
        <v>3.18</v>
      </c>
      <c r="L104" s="133"/>
      <c r="M104" s="82">
        <f t="shared" ref="M104:Y104" si="18">M16/40*40</f>
        <v>0.16400000000000001</v>
      </c>
      <c r="N104" s="82">
        <f t="shared" si="18"/>
        <v>0.10100000000000001</v>
      </c>
      <c r="O104" s="82">
        <f t="shared" si="18"/>
        <v>0</v>
      </c>
      <c r="P104" s="82">
        <f t="shared" si="18"/>
        <v>2.2400000000000002</v>
      </c>
      <c r="Q104" s="82">
        <f t="shared" si="18"/>
        <v>0.08</v>
      </c>
      <c r="R104" s="82">
        <f t="shared" si="18"/>
        <v>189.2</v>
      </c>
      <c r="S104" s="82">
        <f t="shared" si="18"/>
        <v>50</v>
      </c>
      <c r="T104" s="82">
        <f t="shared" si="18"/>
        <v>1.96</v>
      </c>
      <c r="U104" s="82">
        <f t="shared" si="18"/>
        <v>16.399999999999999</v>
      </c>
      <c r="V104" s="82">
        <f t="shared" si="18"/>
        <v>51.6</v>
      </c>
      <c r="W104" s="82">
        <f t="shared" si="18"/>
        <v>1.44</v>
      </c>
      <c r="X104" s="82">
        <f t="shared" si="18"/>
        <v>0</v>
      </c>
      <c r="Y104" s="82">
        <f t="shared" si="18"/>
        <v>11.52</v>
      </c>
    </row>
    <row r="105" spans="1:25" s="45" customFormat="1" ht="22.05" customHeight="1" x14ac:dyDescent="0.3">
      <c r="A105" s="20"/>
      <c r="B105" s="242"/>
      <c r="C105" s="224" t="s">
        <v>115</v>
      </c>
      <c r="D105" s="224"/>
      <c r="E105" s="48">
        <v>30</v>
      </c>
      <c r="F105" s="49">
        <f>F148/40*30</f>
        <v>0.56999999999999995</v>
      </c>
      <c r="G105" s="49">
        <f>G148/40*30</f>
        <v>0.13499999999999998</v>
      </c>
      <c r="H105" s="49">
        <f>H148/40*30</f>
        <v>7.5</v>
      </c>
      <c r="I105" s="49">
        <f>I148/40*30</f>
        <v>37.1175</v>
      </c>
      <c r="J105" s="48" t="s">
        <v>60</v>
      </c>
      <c r="K105" s="133">
        <v>2.73</v>
      </c>
      <c r="L105" s="133"/>
      <c r="M105" s="82">
        <f t="shared" ref="M105:Y105" si="19">M17/40*30</f>
        <v>0.1275</v>
      </c>
      <c r="N105" s="82">
        <f t="shared" si="19"/>
        <v>9.7500000000000003E-2</v>
      </c>
      <c r="O105" s="82">
        <f t="shared" si="19"/>
        <v>0</v>
      </c>
      <c r="P105" s="82">
        <f t="shared" si="19"/>
        <v>1.1399999999999999</v>
      </c>
      <c r="Q105" s="82">
        <f t="shared" si="19"/>
        <v>0.12</v>
      </c>
      <c r="R105" s="82">
        <f t="shared" si="19"/>
        <v>180.89999999999998</v>
      </c>
      <c r="S105" s="82">
        <f t="shared" si="19"/>
        <v>21.9</v>
      </c>
      <c r="T105" s="82">
        <f t="shared" si="19"/>
        <v>0.36</v>
      </c>
      <c r="U105" s="82">
        <f t="shared" si="19"/>
        <v>12</v>
      </c>
      <c r="V105" s="82">
        <f t="shared" si="19"/>
        <v>37.5</v>
      </c>
      <c r="W105" s="82">
        <f t="shared" si="19"/>
        <v>0.84749999999999992</v>
      </c>
      <c r="X105" s="82">
        <f t="shared" si="19"/>
        <v>0</v>
      </c>
      <c r="Y105" s="82">
        <f t="shared" si="19"/>
        <v>9.27</v>
      </c>
    </row>
    <row r="106" spans="1:25" s="113" customFormat="1" ht="22.05" customHeight="1" x14ac:dyDescent="0.3">
      <c r="A106" s="20"/>
      <c r="B106" s="242"/>
      <c r="C106" s="224" t="s">
        <v>12</v>
      </c>
      <c r="D106" s="224"/>
      <c r="E106" s="48">
        <v>200</v>
      </c>
      <c r="F106" s="49">
        <v>2.6</v>
      </c>
      <c r="G106" s="49">
        <v>2.6</v>
      </c>
      <c r="H106" s="49">
        <v>16.8</v>
      </c>
      <c r="I106" s="49">
        <v>100.4</v>
      </c>
      <c r="J106" s="50" t="s">
        <v>11</v>
      </c>
      <c r="K106" s="133">
        <v>15.71</v>
      </c>
      <c r="L106" s="133"/>
      <c r="M106" s="112">
        <v>0</v>
      </c>
      <c r="N106" s="112">
        <v>0.13</v>
      </c>
      <c r="O106" s="112">
        <v>9.6</v>
      </c>
      <c r="P106" s="112">
        <v>0.12</v>
      </c>
      <c r="Q106" s="112">
        <v>0</v>
      </c>
      <c r="R106" s="112">
        <v>50</v>
      </c>
      <c r="S106" s="112">
        <v>199</v>
      </c>
      <c r="T106" s="112">
        <v>108</v>
      </c>
      <c r="U106" s="112">
        <v>26</v>
      </c>
      <c r="V106" s="112">
        <v>95</v>
      </c>
      <c r="W106" s="112">
        <v>1</v>
      </c>
      <c r="X106" s="112">
        <v>2.7</v>
      </c>
      <c r="Y106" s="112">
        <v>1</v>
      </c>
    </row>
    <row r="107" spans="1:25" s="45" customFormat="1" ht="22.05" customHeight="1" x14ac:dyDescent="0.3">
      <c r="A107" s="20"/>
      <c r="B107" s="79"/>
      <c r="C107" s="228" t="s">
        <v>105</v>
      </c>
      <c r="D107" s="228"/>
      <c r="E107" s="44">
        <f>SUM(E101:E106)</f>
        <v>640</v>
      </c>
      <c r="F107" s="55">
        <f>SUM(F101:F106)</f>
        <v>23.362000000000002</v>
      </c>
      <c r="G107" s="55">
        <f>SUM(G101:G106)</f>
        <v>23.831000000000003</v>
      </c>
      <c r="H107" s="55">
        <f>SUM(H101:H106)</f>
        <v>74.900000000000006</v>
      </c>
      <c r="I107" s="55">
        <f>SUM(I101:I106)</f>
        <v>621.66549999999995</v>
      </c>
      <c r="J107" s="44"/>
      <c r="K107" s="55">
        <f>SUM(K101:K106)</f>
        <v>111.75</v>
      </c>
      <c r="L107" s="133"/>
      <c r="M107" s="102">
        <f t="shared" ref="M107:Y107" si="20">SUM(M101:M106)</f>
        <v>0.54150000000000009</v>
      </c>
      <c r="N107" s="102">
        <f t="shared" si="20"/>
        <v>0.56850000000000001</v>
      </c>
      <c r="O107" s="102">
        <f t="shared" si="20"/>
        <v>45.800000000000004</v>
      </c>
      <c r="P107" s="102">
        <f t="shared" si="20"/>
        <v>5.7</v>
      </c>
      <c r="Q107" s="102">
        <f t="shared" si="20"/>
        <v>19.5</v>
      </c>
      <c r="R107" s="102">
        <f t="shared" si="20"/>
        <v>1032.5999999999999</v>
      </c>
      <c r="S107" s="102">
        <f t="shared" si="20"/>
        <v>1822.4</v>
      </c>
      <c r="T107" s="102">
        <f t="shared" si="20"/>
        <v>231.32</v>
      </c>
      <c r="U107" s="102">
        <f t="shared" si="20"/>
        <v>161.4</v>
      </c>
      <c r="V107" s="102">
        <f t="shared" si="20"/>
        <v>368.1</v>
      </c>
      <c r="W107" s="102">
        <f t="shared" si="20"/>
        <v>5.7874999999999996</v>
      </c>
      <c r="X107" s="102">
        <f t="shared" si="20"/>
        <v>187.5</v>
      </c>
      <c r="Y107" s="102">
        <f t="shared" si="20"/>
        <v>35.39</v>
      </c>
    </row>
    <row r="108" spans="1:25" s="183" customFormat="1" ht="22.05" customHeight="1" x14ac:dyDescent="0.3">
      <c r="A108" s="20"/>
      <c r="B108" s="38"/>
      <c r="C108" s="39"/>
      <c r="D108" s="39"/>
      <c r="E108" s="179"/>
      <c r="F108" s="91"/>
      <c r="G108" s="91"/>
      <c r="H108" s="91"/>
      <c r="I108" s="91"/>
      <c r="J108" s="179"/>
      <c r="K108" s="91"/>
      <c r="L108" s="91"/>
      <c r="M108" s="180"/>
      <c r="N108" s="180"/>
      <c r="O108" s="180"/>
      <c r="P108" s="180"/>
      <c r="Q108" s="180"/>
      <c r="R108" s="180"/>
      <c r="S108" s="180"/>
      <c r="T108" s="180"/>
      <c r="U108" s="180"/>
      <c r="V108" s="180"/>
      <c r="W108" s="180"/>
      <c r="X108" s="180"/>
      <c r="Y108" s="180"/>
    </row>
    <row r="109" spans="1:25" s="183" customFormat="1" ht="22.05" customHeight="1" x14ac:dyDescent="0.3">
      <c r="A109" s="20"/>
      <c r="B109" s="38"/>
      <c r="C109" s="39"/>
      <c r="D109" s="39"/>
      <c r="E109" s="179"/>
      <c r="F109" s="91"/>
      <c r="G109" s="91"/>
      <c r="H109" s="91"/>
      <c r="I109" s="91"/>
      <c r="J109" s="179"/>
      <c r="K109" s="91"/>
      <c r="L109" s="91"/>
      <c r="M109" s="180"/>
      <c r="N109" s="180"/>
      <c r="O109" s="180"/>
      <c r="P109" s="180"/>
      <c r="Q109" s="180"/>
      <c r="R109" s="180"/>
      <c r="S109" s="180"/>
      <c r="T109" s="180"/>
      <c r="U109" s="180"/>
      <c r="V109" s="180"/>
      <c r="W109" s="180"/>
      <c r="X109" s="180"/>
      <c r="Y109" s="180"/>
    </row>
    <row r="110" spans="1:25" s="45" customFormat="1" ht="22.05" customHeight="1" x14ac:dyDescent="0.3">
      <c r="A110" s="20"/>
      <c r="B110" s="225" t="s">
        <v>59</v>
      </c>
      <c r="C110" s="225"/>
      <c r="D110" s="225"/>
      <c r="E110" s="225"/>
      <c r="F110" s="225"/>
      <c r="G110" s="225"/>
      <c r="H110" s="225"/>
      <c r="I110" s="225"/>
      <c r="J110" s="225"/>
      <c r="K110" s="225"/>
      <c r="L110" s="147"/>
      <c r="M110" s="260"/>
      <c r="N110" s="260"/>
      <c r="O110" s="260"/>
      <c r="P110" s="260"/>
      <c r="Q110" s="260"/>
      <c r="R110" s="260"/>
      <c r="S110" s="260"/>
      <c r="T110" s="260"/>
      <c r="U110" s="260"/>
      <c r="V110" s="260"/>
      <c r="W110" s="260"/>
      <c r="X110" s="260"/>
      <c r="Y110" s="260"/>
    </row>
    <row r="111" spans="1:25" s="45" customFormat="1" ht="22.05" customHeight="1" x14ac:dyDescent="0.3">
      <c r="A111" s="20"/>
      <c r="B111" s="231" t="s">
        <v>70</v>
      </c>
      <c r="C111" s="225" t="s">
        <v>1</v>
      </c>
      <c r="D111" s="225"/>
      <c r="E111" s="231" t="s">
        <v>71</v>
      </c>
      <c r="F111" s="225" t="s">
        <v>3</v>
      </c>
      <c r="G111" s="225"/>
      <c r="H111" s="225"/>
      <c r="I111" s="231" t="s">
        <v>142</v>
      </c>
      <c r="J111" s="225" t="s">
        <v>72</v>
      </c>
      <c r="K111" s="225" t="s">
        <v>180</v>
      </c>
      <c r="L111" s="143"/>
      <c r="M111" s="260" t="s">
        <v>156</v>
      </c>
      <c r="N111" s="260"/>
      <c r="O111" s="260"/>
      <c r="P111" s="260"/>
      <c r="Q111" s="260"/>
      <c r="R111" s="260"/>
      <c r="S111" s="260"/>
      <c r="T111" s="260"/>
      <c r="U111" s="260"/>
      <c r="V111" s="260"/>
      <c r="W111" s="260"/>
      <c r="X111" s="260"/>
      <c r="Y111" s="260"/>
    </row>
    <row r="112" spans="1:25" s="45" customFormat="1" ht="40.200000000000003" customHeight="1" x14ac:dyDescent="0.3">
      <c r="A112" s="20"/>
      <c r="B112" s="231"/>
      <c r="C112" s="225"/>
      <c r="D112" s="225"/>
      <c r="E112" s="231"/>
      <c r="F112" s="213" t="s">
        <v>139</v>
      </c>
      <c r="G112" s="213" t="s">
        <v>140</v>
      </c>
      <c r="H112" s="213" t="s">
        <v>141</v>
      </c>
      <c r="I112" s="231"/>
      <c r="J112" s="225"/>
      <c r="K112" s="225"/>
      <c r="L112" s="144"/>
      <c r="M112" s="262" t="s">
        <v>80</v>
      </c>
      <c r="N112" s="262"/>
      <c r="O112" s="262"/>
      <c r="P112" s="262"/>
      <c r="Q112" s="262"/>
      <c r="R112" s="262"/>
      <c r="S112" s="262"/>
      <c r="T112" s="262"/>
      <c r="U112" s="262"/>
      <c r="V112" s="262"/>
      <c r="W112" s="262"/>
      <c r="X112" s="262"/>
      <c r="Y112" s="262"/>
    </row>
    <row r="113" spans="1:25" s="45" customFormat="1" ht="22.05" customHeight="1" x14ac:dyDescent="0.3">
      <c r="A113" s="20"/>
      <c r="B113" s="229" t="s">
        <v>80</v>
      </c>
      <c r="C113" s="229"/>
      <c r="D113" s="229"/>
      <c r="E113" s="229"/>
      <c r="F113" s="229"/>
      <c r="G113" s="229"/>
      <c r="H113" s="229"/>
      <c r="I113" s="229"/>
      <c r="J113" s="229"/>
      <c r="K113" s="229"/>
      <c r="L113" s="141"/>
      <c r="M113" s="81" t="s">
        <v>143</v>
      </c>
      <c r="N113" s="81" t="s">
        <v>144</v>
      </c>
      <c r="O113" s="81" t="s">
        <v>145</v>
      </c>
      <c r="P113" s="81" t="s">
        <v>147</v>
      </c>
      <c r="Q113" s="81" t="s">
        <v>146</v>
      </c>
      <c r="R113" s="81" t="s">
        <v>148</v>
      </c>
      <c r="S113" s="81" t="s">
        <v>149</v>
      </c>
      <c r="T113" s="81" t="s">
        <v>150</v>
      </c>
      <c r="U113" s="81" t="s">
        <v>151</v>
      </c>
      <c r="V113" s="81" t="s">
        <v>152</v>
      </c>
      <c r="W113" s="81" t="s">
        <v>153</v>
      </c>
      <c r="X113" s="81" t="s">
        <v>154</v>
      </c>
      <c r="Y113" s="81" t="s">
        <v>155</v>
      </c>
    </row>
    <row r="114" spans="1:25" s="113" customFormat="1" ht="22.05" customHeight="1" x14ac:dyDescent="0.3">
      <c r="A114" s="20"/>
      <c r="B114" s="230" t="s">
        <v>4</v>
      </c>
      <c r="C114" s="224" t="s">
        <v>217</v>
      </c>
      <c r="D114" s="224"/>
      <c r="E114" s="48">
        <v>80</v>
      </c>
      <c r="F114" s="49">
        <v>0.7</v>
      </c>
      <c r="G114" s="49">
        <v>3.6</v>
      </c>
      <c r="H114" s="49">
        <v>1.9</v>
      </c>
      <c r="I114" s="49">
        <v>44</v>
      </c>
      <c r="J114" s="50">
        <v>9</v>
      </c>
      <c r="K114" s="133">
        <v>28.29</v>
      </c>
      <c r="L114" s="133"/>
      <c r="M114" s="112">
        <v>0.02</v>
      </c>
      <c r="N114" s="112">
        <v>0.02</v>
      </c>
      <c r="O114" s="112">
        <v>0</v>
      </c>
      <c r="P114" s="112">
        <v>0</v>
      </c>
      <c r="Q114" s="112">
        <v>3.07</v>
      </c>
      <c r="R114" s="112">
        <v>0</v>
      </c>
      <c r="S114" s="112">
        <v>0</v>
      </c>
      <c r="T114" s="112">
        <v>16.39</v>
      </c>
      <c r="U114" s="112">
        <v>9.35</v>
      </c>
      <c r="V114" s="112">
        <v>29.8</v>
      </c>
      <c r="W114" s="112">
        <v>0.42</v>
      </c>
      <c r="X114" s="112">
        <v>0</v>
      </c>
      <c r="Y114" s="112">
        <v>0</v>
      </c>
    </row>
    <row r="115" spans="1:25" s="45" customFormat="1" ht="22.05" customHeight="1" x14ac:dyDescent="0.3">
      <c r="A115" s="20"/>
      <c r="B115" s="230"/>
      <c r="C115" s="224" t="s">
        <v>20</v>
      </c>
      <c r="D115" s="224"/>
      <c r="E115" s="48">
        <v>180</v>
      </c>
      <c r="F115" s="49">
        <v>6</v>
      </c>
      <c r="G115" s="49">
        <v>6.4</v>
      </c>
      <c r="H115" s="49">
        <v>42</v>
      </c>
      <c r="I115" s="49">
        <v>249.6</v>
      </c>
      <c r="J115" s="50" t="s">
        <v>19</v>
      </c>
      <c r="K115" s="133">
        <v>10.5</v>
      </c>
      <c r="L115" s="133"/>
      <c r="M115" s="82">
        <v>7.0000000000000007E-2</v>
      </c>
      <c r="N115" s="82">
        <v>0.04</v>
      </c>
      <c r="O115" s="82">
        <v>24</v>
      </c>
      <c r="P115" s="82">
        <v>0.6</v>
      </c>
      <c r="Q115" s="82">
        <v>0</v>
      </c>
      <c r="R115" s="82">
        <v>230.4</v>
      </c>
      <c r="S115" s="82">
        <v>8.4</v>
      </c>
      <c r="T115" s="82">
        <v>70.8</v>
      </c>
      <c r="U115" s="82">
        <v>8.4</v>
      </c>
      <c r="V115" s="82">
        <v>48</v>
      </c>
      <c r="W115" s="82">
        <v>1.2</v>
      </c>
      <c r="X115" s="82">
        <v>24</v>
      </c>
      <c r="Y115" s="82">
        <v>0.1</v>
      </c>
    </row>
    <row r="116" spans="1:25" s="45" customFormat="1" ht="30" customHeight="1" x14ac:dyDescent="0.3">
      <c r="A116" s="20"/>
      <c r="B116" s="230"/>
      <c r="C116" s="224" t="s">
        <v>205</v>
      </c>
      <c r="D116" s="224"/>
      <c r="E116" s="48">
        <v>130</v>
      </c>
      <c r="F116" s="49">
        <v>15</v>
      </c>
      <c r="G116" s="49">
        <v>12.3</v>
      </c>
      <c r="H116" s="49">
        <v>7</v>
      </c>
      <c r="I116" s="49">
        <v>195.7</v>
      </c>
      <c r="J116" s="50" t="s">
        <v>206</v>
      </c>
      <c r="K116" s="133">
        <v>60.16</v>
      </c>
      <c r="L116" s="133"/>
      <c r="M116" s="82">
        <v>7.0000000000000007E-2</v>
      </c>
      <c r="N116" s="82">
        <v>0.16</v>
      </c>
      <c r="O116" s="82">
        <v>35.76</v>
      </c>
      <c r="P116" s="82">
        <v>1.9</v>
      </c>
      <c r="Q116" s="82">
        <v>0.55000000000000004</v>
      </c>
      <c r="R116" s="82">
        <v>268.89999999999998</v>
      </c>
      <c r="S116" s="82">
        <v>282.2</v>
      </c>
      <c r="T116" s="82">
        <v>40.130000000000003</v>
      </c>
      <c r="U116" s="82">
        <v>31.28</v>
      </c>
      <c r="V116" s="82">
        <v>163.78</v>
      </c>
      <c r="W116" s="82">
        <v>1.67</v>
      </c>
      <c r="X116" s="82">
        <v>29.7</v>
      </c>
      <c r="Y116" s="82">
        <v>1.6</v>
      </c>
    </row>
    <row r="117" spans="1:25" s="45" customFormat="1" ht="22.05" customHeight="1" x14ac:dyDescent="0.3">
      <c r="A117" s="20"/>
      <c r="B117" s="230"/>
      <c r="C117" s="224" t="s">
        <v>111</v>
      </c>
      <c r="D117" s="224"/>
      <c r="E117" s="48">
        <v>40</v>
      </c>
      <c r="F117" s="49">
        <f>F147/50*40</f>
        <v>1.3919999999999999</v>
      </c>
      <c r="G117" s="49">
        <f>G147/50*40</f>
        <v>0.25600000000000001</v>
      </c>
      <c r="H117" s="49">
        <f>H147/50*40</f>
        <v>8.56</v>
      </c>
      <c r="I117" s="49">
        <f>I147/50*40</f>
        <v>53.688000000000002</v>
      </c>
      <c r="J117" s="48" t="s">
        <v>60</v>
      </c>
      <c r="K117" s="133">
        <v>3.18</v>
      </c>
      <c r="L117" s="133"/>
      <c r="M117" s="82">
        <f t="shared" ref="M117:Y117" si="21">M16</f>
        <v>0.16400000000000001</v>
      </c>
      <c r="N117" s="82">
        <f t="shared" si="21"/>
        <v>0.10100000000000001</v>
      </c>
      <c r="O117" s="82">
        <f t="shared" si="21"/>
        <v>0</v>
      </c>
      <c r="P117" s="82">
        <f t="shared" si="21"/>
        <v>2.2400000000000002</v>
      </c>
      <c r="Q117" s="82">
        <f t="shared" si="21"/>
        <v>0.08</v>
      </c>
      <c r="R117" s="82">
        <f t="shared" si="21"/>
        <v>189.2</v>
      </c>
      <c r="S117" s="82">
        <f t="shared" si="21"/>
        <v>50</v>
      </c>
      <c r="T117" s="82">
        <f t="shared" si="21"/>
        <v>1.96</v>
      </c>
      <c r="U117" s="82">
        <f t="shared" si="21"/>
        <v>16.399999999999999</v>
      </c>
      <c r="V117" s="82">
        <f t="shared" si="21"/>
        <v>51.6</v>
      </c>
      <c r="W117" s="82">
        <f t="shared" si="21"/>
        <v>1.44</v>
      </c>
      <c r="X117" s="82">
        <f t="shared" si="21"/>
        <v>0</v>
      </c>
      <c r="Y117" s="82">
        <f t="shared" si="21"/>
        <v>11.52</v>
      </c>
    </row>
    <row r="118" spans="1:25" s="45" customFormat="1" ht="22.05" customHeight="1" x14ac:dyDescent="0.3">
      <c r="A118" s="20"/>
      <c r="B118" s="230"/>
      <c r="C118" s="224" t="s">
        <v>115</v>
      </c>
      <c r="D118" s="224"/>
      <c r="E118" s="48">
        <v>29</v>
      </c>
      <c r="F118" s="49">
        <f>F148/40*29</f>
        <v>0.55099999999999993</v>
      </c>
      <c r="G118" s="49">
        <f>G148/40*29</f>
        <v>0.13049999999999998</v>
      </c>
      <c r="H118" s="49">
        <f>H148/40*29</f>
        <v>7.25</v>
      </c>
      <c r="I118" s="49">
        <f>I148/40*29</f>
        <v>35.880249999999997</v>
      </c>
      <c r="J118" s="48" t="s">
        <v>60</v>
      </c>
      <c r="K118" s="133">
        <v>2.5499999999999998</v>
      </c>
      <c r="L118" s="133"/>
      <c r="M118" s="82">
        <f t="shared" ref="M118:Y118" si="22">M17/40*29</f>
        <v>0.12325000000000001</v>
      </c>
      <c r="N118" s="82">
        <f t="shared" si="22"/>
        <v>9.4250000000000014E-2</v>
      </c>
      <c r="O118" s="82">
        <f t="shared" si="22"/>
        <v>0</v>
      </c>
      <c r="P118" s="82">
        <f t="shared" si="22"/>
        <v>1.1019999999999999</v>
      </c>
      <c r="Q118" s="82">
        <f t="shared" si="22"/>
        <v>0.11600000000000001</v>
      </c>
      <c r="R118" s="82">
        <f t="shared" si="22"/>
        <v>174.86999999999998</v>
      </c>
      <c r="S118" s="82">
        <f t="shared" si="22"/>
        <v>21.169999999999998</v>
      </c>
      <c r="T118" s="82">
        <f t="shared" si="22"/>
        <v>0.34800000000000003</v>
      </c>
      <c r="U118" s="82">
        <f t="shared" si="22"/>
        <v>11.600000000000001</v>
      </c>
      <c r="V118" s="82">
        <f t="shared" si="22"/>
        <v>36.25</v>
      </c>
      <c r="W118" s="82">
        <f t="shared" si="22"/>
        <v>0.81924999999999992</v>
      </c>
      <c r="X118" s="82">
        <f t="shared" si="22"/>
        <v>0</v>
      </c>
      <c r="Y118" s="82">
        <f t="shared" si="22"/>
        <v>8.9610000000000003</v>
      </c>
    </row>
    <row r="119" spans="1:25" s="19" customFormat="1" ht="22.05" customHeight="1" x14ac:dyDescent="0.3">
      <c r="A119" s="17"/>
      <c r="B119" s="230"/>
      <c r="C119" s="224" t="s">
        <v>23</v>
      </c>
      <c r="D119" s="224"/>
      <c r="E119" s="48">
        <v>200</v>
      </c>
      <c r="F119" s="49">
        <v>0.2</v>
      </c>
      <c r="G119" s="49">
        <v>0</v>
      </c>
      <c r="H119" s="49">
        <v>6.4</v>
      </c>
      <c r="I119" s="49">
        <v>26.4</v>
      </c>
      <c r="J119" s="50" t="s">
        <v>22</v>
      </c>
      <c r="K119" s="156">
        <v>1.22</v>
      </c>
      <c r="L119" s="150"/>
      <c r="M119" s="82">
        <v>0</v>
      </c>
      <c r="N119" s="82">
        <v>0</v>
      </c>
      <c r="O119" s="82">
        <v>0</v>
      </c>
      <c r="P119" s="82">
        <v>0.1</v>
      </c>
      <c r="Q119" s="82">
        <v>0</v>
      </c>
      <c r="R119" s="82">
        <v>1</v>
      </c>
      <c r="S119" s="82">
        <v>25</v>
      </c>
      <c r="T119" s="82">
        <v>4</v>
      </c>
      <c r="U119" s="82">
        <v>4</v>
      </c>
      <c r="V119" s="82">
        <v>7</v>
      </c>
      <c r="W119" s="82">
        <v>1</v>
      </c>
      <c r="X119" s="82">
        <v>0</v>
      </c>
      <c r="Y119" s="82">
        <v>0</v>
      </c>
    </row>
    <row r="120" spans="1:25" s="45" customFormat="1" ht="22.05" customHeight="1" x14ac:dyDescent="0.3">
      <c r="A120" s="14"/>
      <c r="B120" s="43"/>
      <c r="C120" s="228" t="s">
        <v>105</v>
      </c>
      <c r="D120" s="228"/>
      <c r="E120" s="44">
        <f>SUM(E114:E119)</f>
        <v>659</v>
      </c>
      <c r="F120" s="55">
        <f>SUM(F114:F119)</f>
        <v>23.842999999999996</v>
      </c>
      <c r="G120" s="55">
        <f>SUM(G114:G119)</f>
        <v>22.686500000000002</v>
      </c>
      <c r="H120" s="55">
        <f>SUM(H114:H119)</f>
        <v>73.110000000000014</v>
      </c>
      <c r="I120" s="55">
        <f>SUM(I114:I119)</f>
        <v>605.26825000000008</v>
      </c>
      <c r="J120" s="55"/>
      <c r="K120" s="55">
        <f>SUM(K114:K119)</f>
        <v>105.89999999999999</v>
      </c>
      <c r="L120" s="133"/>
      <c r="M120" s="102">
        <f t="shared" ref="M120:Y120" si="23">SUM(M114:M119)</f>
        <v>0.44725000000000009</v>
      </c>
      <c r="N120" s="102">
        <f t="shared" si="23"/>
        <v>0.41525000000000001</v>
      </c>
      <c r="O120" s="102">
        <f t="shared" si="23"/>
        <v>59.76</v>
      </c>
      <c r="P120" s="102">
        <f t="shared" si="23"/>
        <v>5.9420000000000002</v>
      </c>
      <c r="Q120" s="102">
        <f t="shared" si="23"/>
        <v>3.8160000000000003</v>
      </c>
      <c r="R120" s="102">
        <f t="shared" si="23"/>
        <v>864.37</v>
      </c>
      <c r="S120" s="102">
        <f t="shared" si="23"/>
        <v>386.77</v>
      </c>
      <c r="T120" s="102">
        <f t="shared" si="23"/>
        <v>133.62800000000001</v>
      </c>
      <c r="U120" s="102">
        <f t="shared" si="23"/>
        <v>81.03</v>
      </c>
      <c r="V120" s="102">
        <f t="shared" si="23"/>
        <v>336.43</v>
      </c>
      <c r="W120" s="102">
        <f t="shared" si="23"/>
        <v>6.5492500000000007</v>
      </c>
      <c r="X120" s="102">
        <f t="shared" si="23"/>
        <v>53.7</v>
      </c>
      <c r="Y120" s="102">
        <f t="shared" si="23"/>
        <v>22.180999999999997</v>
      </c>
    </row>
    <row r="121" spans="1:25" s="47" customFormat="1" ht="22.05" customHeight="1" x14ac:dyDescent="0.3">
      <c r="A121" s="14"/>
      <c r="B121" s="35"/>
      <c r="C121" s="86"/>
      <c r="D121" s="86"/>
      <c r="E121" s="14"/>
      <c r="F121" s="36"/>
      <c r="G121" s="36"/>
      <c r="H121" s="36"/>
      <c r="I121" s="36"/>
      <c r="J121" s="14"/>
      <c r="K121" s="61"/>
      <c r="L121" s="61"/>
    </row>
    <row r="122" spans="1:25" s="47" customFormat="1" ht="22.05" customHeight="1" x14ac:dyDescent="0.3">
      <c r="A122" s="14"/>
      <c r="B122" s="35"/>
      <c r="C122" s="14"/>
      <c r="D122" s="14"/>
      <c r="E122" s="36"/>
      <c r="F122" s="36"/>
      <c r="G122" s="36"/>
      <c r="H122" s="36"/>
      <c r="I122" s="36"/>
      <c r="J122" s="14"/>
      <c r="K122" s="61"/>
      <c r="L122" s="61"/>
    </row>
    <row r="123" spans="1:25" s="45" customFormat="1" ht="22.05" customHeight="1" x14ac:dyDescent="0.3">
      <c r="A123" s="20"/>
      <c r="B123" s="225" t="s">
        <v>59</v>
      </c>
      <c r="C123" s="225"/>
      <c r="D123" s="225"/>
      <c r="E123" s="225"/>
      <c r="F123" s="225"/>
      <c r="G123" s="225"/>
      <c r="H123" s="225"/>
      <c r="I123" s="225"/>
      <c r="J123" s="225"/>
      <c r="K123" s="225"/>
      <c r="L123" s="147"/>
      <c r="M123" s="260"/>
      <c r="N123" s="260"/>
      <c r="O123" s="260"/>
      <c r="P123" s="260"/>
      <c r="Q123" s="260"/>
      <c r="R123" s="260"/>
      <c r="S123" s="260"/>
      <c r="T123" s="260"/>
      <c r="U123" s="260"/>
      <c r="V123" s="260"/>
      <c r="W123" s="260"/>
      <c r="X123" s="260"/>
      <c r="Y123" s="260"/>
    </row>
    <row r="124" spans="1:25" s="45" customFormat="1" ht="22.05" customHeight="1" x14ac:dyDescent="0.3">
      <c r="A124" s="20"/>
      <c r="B124" s="231" t="s">
        <v>70</v>
      </c>
      <c r="C124" s="225" t="s">
        <v>1</v>
      </c>
      <c r="D124" s="225"/>
      <c r="E124" s="231" t="s">
        <v>71</v>
      </c>
      <c r="F124" s="225" t="s">
        <v>3</v>
      </c>
      <c r="G124" s="225"/>
      <c r="H124" s="225"/>
      <c r="I124" s="231" t="s">
        <v>142</v>
      </c>
      <c r="J124" s="225" t="s">
        <v>72</v>
      </c>
      <c r="K124" s="225" t="s">
        <v>180</v>
      </c>
      <c r="L124" s="143"/>
      <c r="M124" s="260" t="s">
        <v>156</v>
      </c>
      <c r="N124" s="260"/>
      <c r="O124" s="260"/>
      <c r="P124" s="260"/>
      <c r="Q124" s="260"/>
      <c r="R124" s="260"/>
      <c r="S124" s="260"/>
      <c r="T124" s="260"/>
      <c r="U124" s="260"/>
      <c r="V124" s="260"/>
      <c r="W124" s="260"/>
      <c r="X124" s="260"/>
      <c r="Y124" s="260"/>
    </row>
    <row r="125" spans="1:25" s="45" customFormat="1" ht="43.8" customHeight="1" x14ac:dyDescent="0.3">
      <c r="A125" s="20"/>
      <c r="B125" s="231"/>
      <c r="C125" s="225"/>
      <c r="D125" s="225"/>
      <c r="E125" s="231"/>
      <c r="F125" s="213" t="s">
        <v>139</v>
      </c>
      <c r="G125" s="213" t="s">
        <v>140</v>
      </c>
      <c r="H125" s="213" t="s">
        <v>141</v>
      </c>
      <c r="I125" s="231"/>
      <c r="J125" s="225"/>
      <c r="K125" s="225"/>
      <c r="L125" s="144"/>
      <c r="M125" s="262" t="s">
        <v>81</v>
      </c>
      <c r="N125" s="262"/>
      <c r="O125" s="262"/>
      <c r="P125" s="262"/>
      <c r="Q125" s="262"/>
      <c r="R125" s="262"/>
      <c r="S125" s="262"/>
      <c r="T125" s="262"/>
      <c r="U125" s="262"/>
      <c r="V125" s="262"/>
      <c r="W125" s="262"/>
      <c r="X125" s="262"/>
      <c r="Y125" s="262"/>
    </row>
    <row r="126" spans="1:25" s="47" customFormat="1" ht="22.05" customHeight="1" x14ac:dyDescent="0.3">
      <c r="A126" s="14"/>
      <c r="B126" s="229" t="s">
        <v>81</v>
      </c>
      <c r="C126" s="229"/>
      <c r="D126" s="229"/>
      <c r="E126" s="229"/>
      <c r="F126" s="229"/>
      <c r="G126" s="229"/>
      <c r="H126" s="229"/>
      <c r="I126" s="229"/>
      <c r="J126" s="229"/>
      <c r="K126" s="229"/>
      <c r="L126" s="141"/>
      <c r="M126" s="80" t="s">
        <v>143</v>
      </c>
      <c r="N126" s="80" t="s">
        <v>144</v>
      </c>
      <c r="O126" s="80" t="s">
        <v>145</v>
      </c>
      <c r="P126" s="80" t="s">
        <v>147</v>
      </c>
      <c r="Q126" s="80" t="s">
        <v>146</v>
      </c>
      <c r="R126" s="80" t="s">
        <v>148</v>
      </c>
      <c r="S126" s="80" t="s">
        <v>149</v>
      </c>
      <c r="T126" s="80" t="s">
        <v>150</v>
      </c>
      <c r="U126" s="80" t="s">
        <v>151</v>
      </c>
      <c r="V126" s="80" t="s">
        <v>152</v>
      </c>
      <c r="W126" s="80" t="s">
        <v>153</v>
      </c>
      <c r="X126" s="80" t="s">
        <v>154</v>
      </c>
      <c r="Y126" s="80" t="s">
        <v>155</v>
      </c>
    </row>
    <row r="127" spans="1:25" s="45" customFormat="1" ht="28.2" customHeight="1" x14ac:dyDescent="0.3">
      <c r="A127" s="20"/>
      <c r="B127" s="230" t="s">
        <v>4</v>
      </c>
      <c r="C127" s="224" t="s">
        <v>69</v>
      </c>
      <c r="D127" s="224"/>
      <c r="E127" s="48">
        <v>120</v>
      </c>
      <c r="F127" s="49">
        <v>0.8</v>
      </c>
      <c r="G127" s="49">
        <v>0</v>
      </c>
      <c r="H127" s="49">
        <v>5</v>
      </c>
      <c r="I127" s="49">
        <v>23</v>
      </c>
      <c r="J127" s="50" t="s">
        <v>193</v>
      </c>
      <c r="K127" s="133">
        <v>11.06</v>
      </c>
      <c r="L127" s="133"/>
      <c r="M127" s="82">
        <v>0.08</v>
      </c>
      <c r="N127" s="82">
        <v>0.04</v>
      </c>
      <c r="O127" s="82">
        <v>160</v>
      </c>
      <c r="P127" s="82">
        <v>0.64</v>
      </c>
      <c r="Q127" s="82">
        <v>30</v>
      </c>
      <c r="R127" s="82">
        <v>48</v>
      </c>
      <c r="S127" s="82">
        <v>348</v>
      </c>
      <c r="T127" s="82">
        <v>16</v>
      </c>
      <c r="U127" s="82">
        <v>24</v>
      </c>
      <c r="V127" s="82">
        <v>32</v>
      </c>
      <c r="W127" s="82">
        <v>2</v>
      </c>
      <c r="X127" s="82">
        <v>2.4</v>
      </c>
      <c r="Y127" s="82">
        <v>0</v>
      </c>
    </row>
    <row r="128" spans="1:25" s="113" customFormat="1" ht="22.05" customHeight="1" x14ac:dyDescent="0.3">
      <c r="A128" s="20"/>
      <c r="B128" s="230"/>
      <c r="C128" s="224" t="s">
        <v>26</v>
      </c>
      <c r="D128" s="224"/>
      <c r="E128" s="48">
        <v>240</v>
      </c>
      <c r="F128" s="49">
        <v>6.32</v>
      </c>
      <c r="G128" s="49">
        <v>9.19</v>
      </c>
      <c r="H128" s="49">
        <v>35.64</v>
      </c>
      <c r="I128" s="49">
        <v>249.96</v>
      </c>
      <c r="J128" s="50" t="s">
        <v>25</v>
      </c>
      <c r="K128" s="133">
        <v>46.95</v>
      </c>
      <c r="L128" s="133"/>
      <c r="M128" s="112">
        <v>0.16</v>
      </c>
      <c r="N128" s="112">
        <v>0.2</v>
      </c>
      <c r="O128" s="112">
        <v>24</v>
      </c>
      <c r="P128" s="112">
        <v>7</v>
      </c>
      <c r="Q128" s="112">
        <v>12</v>
      </c>
      <c r="R128" s="112">
        <v>387.9</v>
      </c>
      <c r="S128" s="112">
        <v>1228</v>
      </c>
      <c r="T128" s="112">
        <v>34.1</v>
      </c>
      <c r="U128" s="112">
        <v>56.5</v>
      </c>
      <c r="V128" s="112">
        <v>353.6</v>
      </c>
      <c r="W128" s="112">
        <v>4.5</v>
      </c>
      <c r="X128" s="112">
        <v>25.1</v>
      </c>
      <c r="Y128" s="112">
        <v>0.5</v>
      </c>
    </row>
    <row r="129" spans="1:25" s="45" customFormat="1" ht="22.05" customHeight="1" x14ac:dyDescent="0.3">
      <c r="A129" s="20"/>
      <c r="B129" s="230"/>
      <c r="C129" s="224" t="s">
        <v>111</v>
      </c>
      <c r="D129" s="224"/>
      <c r="E129" s="48">
        <v>48</v>
      </c>
      <c r="F129" s="49">
        <f>F147/50*48</f>
        <v>1.6703999999999999</v>
      </c>
      <c r="G129" s="49">
        <f>G147/50*48</f>
        <v>0.30720000000000003</v>
      </c>
      <c r="H129" s="49">
        <f>H147/50*48</f>
        <v>10.272</v>
      </c>
      <c r="I129" s="49">
        <f>I147/50*48</f>
        <v>64.425600000000003</v>
      </c>
      <c r="J129" s="48" t="s">
        <v>60</v>
      </c>
      <c r="K129" s="133">
        <v>4</v>
      </c>
      <c r="L129" s="133"/>
      <c r="M129" s="82">
        <f t="shared" ref="M129:Y129" si="24">M16/40*48</f>
        <v>0.19680000000000003</v>
      </c>
      <c r="N129" s="82">
        <f t="shared" si="24"/>
        <v>0.12120000000000002</v>
      </c>
      <c r="O129" s="82">
        <f t="shared" si="24"/>
        <v>0</v>
      </c>
      <c r="P129" s="82">
        <f t="shared" si="24"/>
        <v>2.6880000000000006</v>
      </c>
      <c r="Q129" s="82">
        <f t="shared" si="24"/>
        <v>9.6000000000000002E-2</v>
      </c>
      <c r="R129" s="82">
        <f t="shared" si="24"/>
        <v>227.03999999999996</v>
      </c>
      <c r="S129" s="82">
        <f t="shared" si="24"/>
        <v>60</v>
      </c>
      <c r="T129" s="82">
        <f t="shared" si="24"/>
        <v>2.3520000000000003</v>
      </c>
      <c r="U129" s="82">
        <f t="shared" si="24"/>
        <v>19.68</v>
      </c>
      <c r="V129" s="82">
        <f t="shared" si="24"/>
        <v>61.92</v>
      </c>
      <c r="W129" s="82">
        <f t="shared" si="24"/>
        <v>1.7279999999999998</v>
      </c>
      <c r="X129" s="82">
        <f t="shared" si="24"/>
        <v>0</v>
      </c>
      <c r="Y129" s="82">
        <f t="shared" si="24"/>
        <v>13.823999999999998</v>
      </c>
    </row>
    <row r="130" spans="1:25" s="45" customFormat="1" ht="22.05" customHeight="1" x14ac:dyDescent="0.3">
      <c r="A130" s="20"/>
      <c r="B130" s="230"/>
      <c r="C130" s="224" t="s">
        <v>115</v>
      </c>
      <c r="D130" s="224"/>
      <c r="E130" s="48">
        <v>28</v>
      </c>
      <c r="F130" s="49">
        <f>F148/40*28</f>
        <v>0.53200000000000003</v>
      </c>
      <c r="G130" s="49">
        <f>G148/40*28</f>
        <v>0.126</v>
      </c>
      <c r="H130" s="49">
        <f>H148/40*28</f>
        <v>7</v>
      </c>
      <c r="I130" s="49">
        <f>I148/40*28</f>
        <v>34.643000000000001</v>
      </c>
      <c r="J130" s="48" t="s">
        <v>60</v>
      </c>
      <c r="K130" s="133">
        <v>2.73</v>
      </c>
      <c r="L130" s="133"/>
      <c r="M130" s="82">
        <f t="shared" ref="M130:Y130" si="25">M17/40*28</f>
        <v>0.11900000000000001</v>
      </c>
      <c r="N130" s="82">
        <f t="shared" si="25"/>
        <v>9.1000000000000011E-2</v>
      </c>
      <c r="O130" s="82">
        <f t="shared" si="25"/>
        <v>0</v>
      </c>
      <c r="P130" s="82">
        <f t="shared" si="25"/>
        <v>1.0640000000000001</v>
      </c>
      <c r="Q130" s="82">
        <f t="shared" si="25"/>
        <v>0.112</v>
      </c>
      <c r="R130" s="82">
        <f t="shared" si="25"/>
        <v>168.83999999999997</v>
      </c>
      <c r="S130" s="82">
        <f t="shared" si="25"/>
        <v>20.439999999999998</v>
      </c>
      <c r="T130" s="82">
        <f t="shared" si="25"/>
        <v>0.33600000000000002</v>
      </c>
      <c r="U130" s="82">
        <f t="shared" si="25"/>
        <v>11.200000000000001</v>
      </c>
      <c r="V130" s="82">
        <f t="shared" si="25"/>
        <v>35</v>
      </c>
      <c r="W130" s="82">
        <f t="shared" si="25"/>
        <v>0.79099999999999993</v>
      </c>
      <c r="X130" s="82">
        <f t="shared" si="25"/>
        <v>0</v>
      </c>
      <c r="Y130" s="82">
        <f t="shared" si="25"/>
        <v>8.6519999999999992</v>
      </c>
    </row>
    <row r="131" spans="1:25" s="19" customFormat="1" ht="22.05" customHeight="1" x14ac:dyDescent="0.3">
      <c r="A131" s="17"/>
      <c r="B131" s="230"/>
      <c r="C131" s="224" t="s">
        <v>8</v>
      </c>
      <c r="D131" s="224"/>
      <c r="E131" s="48">
        <v>200</v>
      </c>
      <c r="F131" s="49">
        <v>3.8</v>
      </c>
      <c r="G131" s="49">
        <v>3.5</v>
      </c>
      <c r="H131" s="49">
        <v>11.1</v>
      </c>
      <c r="I131" s="49">
        <v>90.8</v>
      </c>
      <c r="J131" s="50" t="s">
        <v>7</v>
      </c>
      <c r="K131" s="136">
        <v>12.47</v>
      </c>
      <c r="L131" s="136"/>
      <c r="M131" s="124">
        <v>0.02</v>
      </c>
      <c r="N131" s="124">
        <v>0.11</v>
      </c>
      <c r="O131" s="124">
        <v>12</v>
      </c>
      <c r="P131" s="124">
        <v>0.2</v>
      </c>
      <c r="Q131" s="124">
        <v>0</v>
      </c>
      <c r="R131" s="124">
        <v>51</v>
      </c>
      <c r="S131" s="124">
        <v>221</v>
      </c>
      <c r="T131" s="124">
        <v>112</v>
      </c>
      <c r="U131" s="124">
        <v>30</v>
      </c>
      <c r="V131" s="124">
        <v>107</v>
      </c>
      <c r="W131" s="124">
        <v>1</v>
      </c>
      <c r="X131" s="124">
        <v>9</v>
      </c>
      <c r="Y131" s="124">
        <v>1.8</v>
      </c>
    </row>
    <row r="132" spans="1:25" s="45" customFormat="1" ht="22.05" customHeight="1" x14ac:dyDescent="0.3">
      <c r="A132" s="20"/>
      <c r="B132" s="42"/>
      <c r="C132" s="228" t="s">
        <v>105</v>
      </c>
      <c r="D132" s="228"/>
      <c r="E132" s="44">
        <f>SUM(E127:E131)</f>
        <v>636</v>
      </c>
      <c r="F132" s="55">
        <f>SUM(F127:F131)</f>
        <v>13.122399999999999</v>
      </c>
      <c r="G132" s="55">
        <f>SUM(G127:G131)</f>
        <v>13.123199999999999</v>
      </c>
      <c r="H132" s="55">
        <f>SUM(H127:H131)</f>
        <v>69.012</v>
      </c>
      <c r="I132" s="55">
        <f>SUM(I127:I131)</f>
        <v>462.82860000000011</v>
      </c>
      <c r="J132" s="44"/>
      <c r="K132" s="55">
        <f>SUM(K127:K131)</f>
        <v>77.210000000000008</v>
      </c>
      <c r="L132" s="182"/>
      <c r="M132" s="102">
        <f>SUM(M127:M131)</f>
        <v>0.57580000000000009</v>
      </c>
      <c r="N132" s="102">
        <f t="shared" ref="N132:Y132" si="26">SUM(N127:N131)</f>
        <v>0.56220000000000003</v>
      </c>
      <c r="O132" s="102">
        <f t="shared" si="26"/>
        <v>196</v>
      </c>
      <c r="P132" s="102">
        <f t="shared" si="26"/>
        <v>11.591999999999999</v>
      </c>
      <c r="Q132" s="102">
        <f t="shared" si="26"/>
        <v>42.207999999999998</v>
      </c>
      <c r="R132" s="102">
        <f t="shared" si="26"/>
        <v>882.78</v>
      </c>
      <c r="S132" s="102">
        <f t="shared" si="26"/>
        <v>1877.44</v>
      </c>
      <c r="T132" s="102">
        <f t="shared" si="26"/>
        <v>164.78800000000001</v>
      </c>
      <c r="U132" s="102">
        <f t="shared" si="26"/>
        <v>141.38</v>
      </c>
      <c r="V132" s="102">
        <f t="shared" si="26"/>
        <v>589.52</v>
      </c>
      <c r="W132" s="102">
        <f t="shared" si="26"/>
        <v>10.019</v>
      </c>
      <c r="X132" s="102">
        <f t="shared" si="26"/>
        <v>36.5</v>
      </c>
      <c r="Y132" s="102">
        <f t="shared" si="26"/>
        <v>24.776</v>
      </c>
    </row>
    <row r="133" spans="1:25" s="47" customFormat="1" ht="22.05" customHeight="1" x14ac:dyDescent="0.3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61"/>
      <c r="L133" s="61"/>
    </row>
    <row r="134" spans="1:25" s="45" customFormat="1" ht="22.05" customHeight="1" x14ac:dyDescent="0.3">
      <c r="A134" s="20"/>
      <c r="B134" s="225" t="s">
        <v>59</v>
      </c>
      <c r="C134" s="225"/>
      <c r="D134" s="225"/>
      <c r="E134" s="225"/>
      <c r="F134" s="225"/>
      <c r="G134" s="225"/>
      <c r="H134" s="225"/>
      <c r="I134" s="225"/>
      <c r="J134" s="225"/>
      <c r="K134" s="225"/>
      <c r="L134" s="147"/>
      <c r="M134" s="260"/>
      <c r="N134" s="260"/>
      <c r="O134" s="260"/>
      <c r="P134" s="260"/>
      <c r="Q134" s="260"/>
      <c r="R134" s="260"/>
      <c r="S134" s="260"/>
      <c r="T134" s="260"/>
      <c r="U134" s="260"/>
      <c r="V134" s="260"/>
      <c r="W134" s="260"/>
      <c r="X134" s="260"/>
      <c r="Y134" s="260"/>
    </row>
    <row r="135" spans="1:25" s="45" customFormat="1" ht="22.05" customHeight="1" x14ac:dyDescent="0.3">
      <c r="A135" s="20"/>
      <c r="B135" s="231" t="s">
        <v>70</v>
      </c>
      <c r="C135" s="225" t="s">
        <v>1</v>
      </c>
      <c r="D135" s="225"/>
      <c r="E135" s="231" t="s">
        <v>71</v>
      </c>
      <c r="F135" s="225" t="s">
        <v>3</v>
      </c>
      <c r="G135" s="225"/>
      <c r="H135" s="225"/>
      <c r="I135" s="231" t="s">
        <v>142</v>
      </c>
      <c r="J135" s="225" t="s">
        <v>72</v>
      </c>
      <c r="K135" s="225" t="s">
        <v>180</v>
      </c>
      <c r="L135" s="145"/>
      <c r="M135" s="259" t="s">
        <v>156</v>
      </c>
      <c r="N135" s="260"/>
      <c r="O135" s="260"/>
      <c r="P135" s="260"/>
      <c r="Q135" s="260"/>
      <c r="R135" s="260"/>
      <c r="S135" s="260"/>
      <c r="T135" s="260"/>
      <c r="U135" s="260"/>
      <c r="V135" s="260"/>
      <c r="W135" s="260"/>
      <c r="X135" s="260"/>
      <c r="Y135" s="260"/>
    </row>
    <row r="136" spans="1:25" s="45" customFormat="1" ht="42.6" customHeight="1" x14ac:dyDescent="0.3">
      <c r="A136" s="20"/>
      <c r="B136" s="231"/>
      <c r="C136" s="225"/>
      <c r="D136" s="225"/>
      <c r="E136" s="231"/>
      <c r="F136" s="213" t="s">
        <v>139</v>
      </c>
      <c r="G136" s="213" t="s">
        <v>140</v>
      </c>
      <c r="H136" s="213" t="s">
        <v>141</v>
      </c>
      <c r="I136" s="231"/>
      <c r="J136" s="225"/>
      <c r="K136" s="225"/>
      <c r="L136" s="146"/>
      <c r="M136" s="261" t="s">
        <v>84</v>
      </c>
      <c r="N136" s="262"/>
      <c r="O136" s="262"/>
      <c r="P136" s="262"/>
      <c r="Q136" s="262"/>
      <c r="R136" s="262"/>
      <c r="S136" s="262"/>
      <c r="T136" s="262"/>
      <c r="U136" s="262"/>
      <c r="V136" s="262"/>
      <c r="W136" s="262"/>
      <c r="X136" s="262"/>
      <c r="Y136" s="262"/>
    </row>
    <row r="137" spans="1:25" s="45" customFormat="1" ht="22.05" customHeight="1" x14ac:dyDescent="0.3">
      <c r="A137" s="20"/>
      <c r="B137" s="229" t="s">
        <v>84</v>
      </c>
      <c r="C137" s="229"/>
      <c r="D137" s="229"/>
      <c r="E137" s="229"/>
      <c r="F137" s="229"/>
      <c r="G137" s="229"/>
      <c r="H137" s="229"/>
      <c r="I137" s="229"/>
      <c r="J137" s="229"/>
      <c r="K137" s="229"/>
      <c r="L137" s="141"/>
      <c r="M137" s="127" t="s">
        <v>143</v>
      </c>
      <c r="N137" s="81" t="s">
        <v>144</v>
      </c>
      <c r="O137" s="81" t="s">
        <v>145</v>
      </c>
      <c r="P137" s="81" t="s">
        <v>147</v>
      </c>
      <c r="Q137" s="81" t="s">
        <v>146</v>
      </c>
      <c r="R137" s="81" t="s">
        <v>148</v>
      </c>
      <c r="S137" s="81" t="s">
        <v>149</v>
      </c>
      <c r="T137" s="81" t="s">
        <v>150</v>
      </c>
      <c r="U137" s="81" t="s">
        <v>151</v>
      </c>
      <c r="V137" s="81" t="s">
        <v>152</v>
      </c>
      <c r="W137" s="81" t="s">
        <v>153</v>
      </c>
      <c r="X137" s="81" t="s">
        <v>154</v>
      </c>
      <c r="Y137" s="81" t="s">
        <v>155</v>
      </c>
    </row>
    <row r="138" spans="1:25" s="113" customFormat="1" ht="22.05" customHeight="1" x14ac:dyDescent="0.3">
      <c r="A138" s="20"/>
      <c r="B138" s="242" t="s">
        <v>4</v>
      </c>
      <c r="C138" s="224" t="s">
        <v>218</v>
      </c>
      <c r="D138" s="224"/>
      <c r="E138" s="48">
        <v>110</v>
      </c>
      <c r="F138" s="49">
        <v>1.62</v>
      </c>
      <c r="G138" s="49">
        <v>6.3</v>
      </c>
      <c r="H138" s="49">
        <v>7.12</v>
      </c>
      <c r="I138" s="49">
        <v>91.77</v>
      </c>
      <c r="J138" s="50" t="s">
        <v>190</v>
      </c>
      <c r="K138" s="133">
        <v>8.32</v>
      </c>
      <c r="L138" s="133"/>
      <c r="M138" s="112">
        <v>7.0000000000000007E-2</v>
      </c>
      <c r="N138" s="112">
        <v>7.0000000000000007E-2</v>
      </c>
      <c r="O138" s="112">
        <v>175.1</v>
      </c>
      <c r="P138" s="112">
        <v>0.7</v>
      </c>
      <c r="Q138" s="112">
        <v>72</v>
      </c>
      <c r="R138" s="112">
        <v>160</v>
      </c>
      <c r="S138" s="112">
        <v>297</v>
      </c>
      <c r="T138" s="112">
        <v>77</v>
      </c>
      <c r="U138" s="112">
        <v>28</v>
      </c>
      <c r="V138" s="112">
        <v>53</v>
      </c>
      <c r="W138" s="112">
        <v>2</v>
      </c>
      <c r="X138" s="112">
        <v>19.600000000000001</v>
      </c>
      <c r="Y138" s="112">
        <v>0.4</v>
      </c>
    </row>
    <row r="139" spans="1:25" s="113" customFormat="1" ht="22.05" customHeight="1" x14ac:dyDescent="0.3">
      <c r="B139" s="242"/>
      <c r="C139" s="241" t="s">
        <v>29</v>
      </c>
      <c r="D139" s="241"/>
      <c r="E139" s="114">
        <v>200</v>
      </c>
      <c r="F139" s="115">
        <v>4.8</v>
      </c>
      <c r="G139" s="115">
        <v>7</v>
      </c>
      <c r="H139" s="115">
        <v>50.7</v>
      </c>
      <c r="I139" s="115">
        <v>284.7</v>
      </c>
      <c r="J139" s="116" t="s">
        <v>28</v>
      </c>
      <c r="K139" s="137">
        <v>48.79</v>
      </c>
      <c r="L139" s="139"/>
      <c r="M139" s="129">
        <v>0.04</v>
      </c>
      <c r="N139" s="112">
        <v>0.02</v>
      </c>
      <c r="O139" s="112">
        <v>27</v>
      </c>
      <c r="P139" s="112">
        <v>0.9</v>
      </c>
      <c r="Q139" s="112">
        <v>0</v>
      </c>
      <c r="R139" s="112">
        <v>275</v>
      </c>
      <c r="S139" s="112">
        <v>41</v>
      </c>
      <c r="T139" s="112">
        <v>20</v>
      </c>
      <c r="U139" s="112">
        <v>14</v>
      </c>
      <c r="V139" s="112">
        <v>62</v>
      </c>
      <c r="W139" s="112">
        <v>1</v>
      </c>
      <c r="X139" s="112">
        <v>26.7</v>
      </c>
      <c r="Y139" s="112">
        <v>9.6999999999999993</v>
      </c>
    </row>
    <row r="140" spans="1:25" s="113" customFormat="1" ht="30" customHeight="1" x14ac:dyDescent="0.3">
      <c r="B140" s="242"/>
      <c r="C140" s="241" t="s">
        <v>207</v>
      </c>
      <c r="D140" s="241"/>
      <c r="E140" s="114">
        <v>150</v>
      </c>
      <c r="F140" s="115">
        <v>11.1</v>
      </c>
      <c r="G140" s="115">
        <v>3.3</v>
      </c>
      <c r="H140" s="115">
        <v>8.6</v>
      </c>
      <c r="I140" s="115">
        <v>117.73</v>
      </c>
      <c r="J140" s="116" t="s">
        <v>208</v>
      </c>
      <c r="K140" s="137">
        <v>53.46</v>
      </c>
      <c r="L140" s="139"/>
      <c r="M140" s="129">
        <v>0.13</v>
      </c>
      <c r="N140" s="129">
        <v>0.11</v>
      </c>
      <c r="O140" s="129">
        <v>6.13</v>
      </c>
      <c r="P140" s="129">
        <v>5.47</v>
      </c>
      <c r="Q140" s="129">
        <v>0</v>
      </c>
      <c r="R140" s="129">
        <v>305</v>
      </c>
      <c r="S140" s="129">
        <v>288</v>
      </c>
      <c r="T140" s="129">
        <v>47</v>
      </c>
      <c r="U140" s="129">
        <v>69</v>
      </c>
      <c r="V140" s="129">
        <v>164</v>
      </c>
      <c r="W140" s="129">
        <v>1.33</v>
      </c>
      <c r="X140" s="129">
        <v>17</v>
      </c>
      <c r="Y140" s="129">
        <v>18</v>
      </c>
    </row>
    <row r="141" spans="1:25" s="45" customFormat="1" ht="22.05" customHeight="1" x14ac:dyDescent="0.3">
      <c r="A141" s="20"/>
      <c r="B141" s="242"/>
      <c r="C141" s="224" t="s">
        <v>111</v>
      </c>
      <c r="D141" s="224"/>
      <c r="E141" s="48">
        <v>50</v>
      </c>
      <c r="F141" s="49">
        <v>1.74</v>
      </c>
      <c r="G141" s="49">
        <v>0.32</v>
      </c>
      <c r="H141" s="49">
        <v>10.7</v>
      </c>
      <c r="I141" s="49">
        <v>67.11</v>
      </c>
      <c r="J141" s="48" t="s">
        <v>60</v>
      </c>
      <c r="K141" s="133">
        <v>3.27</v>
      </c>
      <c r="L141" s="140"/>
      <c r="M141" s="128">
        <f>M16/40*50</f>
        <v>0.20500000000000002</v>
      </c>
      <c r="N141" s="128">
        <f t="shared" ref="N141:Y141" si="27">N16/40*50</f>
        <v>0.12625000000000003</v>
      </c>
      <c r="O141" s="128">
        <f t="shared" si="27"/>
        <v>0</v>
      </c>
      <c r="P141" s="128">
        <f t="shared" si="27"/>
        <v>2.8000000000000003</v>
      </c>
      <c r="Q141" s="128">
        <f t="shared" si="27"/>
        <v>0.1</v>
      </c>
      <c r="R141" s="128">
        <f t="shared" si="27"/>
        <v>236.49999999999997</v>
      </c>
      <c r="S141" s="128">
        <f t="shared" si="27"/>
        <v>62.5</v>
      </c>
      <c r="T141" s="128">
        <f t="shared" si="27"/>
        <v>2.4500000000000002</v>
      </c>
      <c r="U141" s="128">
        <f t="shared" si="27"/>
        <v>20.5</v>
      </c>
      <c r="V141" s="128">
        <f t="shared" si="27"/>
        <v>64.5</v>
      </c>
      <c r="W141" s="128">
        <f t="shared" si="27"/>
        <v>1.7999999999999998</v>
      </c>
      <c r="X141" s="128">
        <f t="shared" si="27"/>
        <v>0</v>
      </c>
      <c r="Y141" s="128">
        <f t="shared" si="27"/>
        <v>14.399999999999999</v>
      </c>
    </row>
    <row r="142" spans="1:25" s="45" customFormat="1" ht="22.05" customHeight="1" x14ac:dyDescent="0.3">
      <c r="A142" s="20"/>
      <c r="B142" s="242"/>
      <c r="C142" s="224" t="s">
        <v>115</v>
      </c>
      <c r="D142" s="224"/>
      <c r="E142" s="48">
        <v>40</v>
      </c>
      <c r="F142" s="49">
        <v>0.76</v>
      </c>
      <c r="G142" s="49">
        <v>0.18</v>
      </c>
      <c r="H142" s="49">
        <v>10</v>
      </c>
      <c r="I142" s="49">
        <v>49.49</v>
      </c>
      <c r="J142" s="48" t="s">
        <v>60</v>
      </c>
      <c r="K142" s="133">
        <v>2.73</v>
      </c>
      <c r="L142" s="140"/>
      <c r="M142" s="128">
        <f>M17</f>
        <v>0.17</v>
      </c>
      <c r="N142" s="128">
        <f t="shared" ref="N142:Y142" si="28">N17</f>
        <v>0.13</v>
      </c>
      <c r="O142" s="128">
        <f t="shared" si="28"/>
        <v>0</v>
      </c>
      <c r="P142" s="128">
        <f t="shared" si="28"/>
        <v>1.52</v>
      </c>
      <c r="Q142" s="128">
        <f t="shared" si="28"/>
        <v>0.16</v>
      </c>
      <c r="R142" s="128">
        <f t="shared" si="28"/>
        <v>241.2</v>
      </c>
      <c r="S142" s="128">
        <f t="shared" si="28"/>
        <v>29.2</v>
      </c>
      <c r="T142" s="128">
        <f t="shared" si="28"/>
        <v>0.48</v>
      </c>
      <c r="U142" s="128">
        <f t="shared" si="28"/>
        <v>16</v>
      </c>
      <c r="V142" s="128">
        <f t="shared" si="28"/>
        <v>50</v>
      </c>
      <c r="W142" s="128">
        <f t="shared" si="28"/>
        <v>1.1299999999999999</v>
      </c>
      <c r="X142" s="128">
        <f t="shared" si="28"/>
        <v>0</v>
      </c>
      <c r="Y142" s="128">
        <f t="shared" si="28"/>
        <v>12.36</v>
      </c>
    </row>
    <row r="143" spans="1:25" s="45" customFormat="1" ht="22.05" customHeight="1" x14ac:dyDescent="0.3">
      <c r="A143" s="20"/>
      <c r="B143" s="242"/>
      <c r="C143" s="224" t="s">
        <v>187</v>
      </c>
      <c r="D143" s="224"/>
      <c r="E143" s="48">
        <v>200</v>
      </c>
      <c r="F143" s="49">
        <v>0.6</v>
      </c>
      <c r="G143" s="49">
        <v>0</v>
      </c>
      <c r="H143" s="49">
        <v>22.7</v>
      </c>
      <c r="I143" s="49">
        <v>93.2</v>
      </c>
      <c r="J143" s="50" t="s">
        <v>188</v>
      </c>
      <c r="K143" s="133">
        <v>12.67</v>
      </c>
      <c r="L143" s="133"/>
      <c r="M143" s="82">
        <v>0.03</v>
      </c>
      <c r="N143" s="82">
        <v>0.06</v>
      </c>
      <c r="O143" s="82">
        <v>129</v>
      </c>
      <c r="P143" s="82">
        <v>0.9</v>
      </c>
      <c r="Q143" s="82">
        <v>1</v>
      </c>
      <c r="R143" s="82">
        <v>6</v>
      </c>
      <c r="S143" s="82">
        <v>635</v>
      </c>
      <c r="T143" s="82">
        <v>52</v>
      </c>
      <c r="U143" s="82">
        <v>34</v>
      </c>
      <c r="V143" s="82">
        <v>47</v>
      </c>
      <c r="W143" s="82">
        <v>1</v>
      </c>
      <c r="X143" s="82">
        <v>0</v>
      </c>
      <c r="Y143" s="82">
        <v>0</v>
      </c>
    </row>
    <row r="144" spans="1:25" s="47" customFormat="1" ht="22.05" customHeight="1" x14ac:dyDescent="0.3">
      <c r="A144" s="14"/>
      <c r="B144" s="43"/>
      <c r="C144" s="228" t="s">
        <v>105</v>
      </c>
      <c r="D144" s="228"/>
      <c r="E144" s="44">
        <f>SUM(E138:E143)</f>
        <v>750</v>
      </c>
      <c r="F144" s="55">
        <f>SUM(F138:F143)</f>
        <v>20.62</v>
      </c>
      <c r="G144" s="55">
        <f>SUM(G138:G143)</f>
        <v>17.100000000000001</v>
      </c>
      <c r="H144" s="55">
        <f>SUM(H138:H143)</f>
        <v>109.82000000000001</v>
      </c>
      <c r="I144" s="55">
        <f>SUM(I138:I143)</f>
        <v>704</v>
      </c>
      <c r="J144" s="44"/>
      <c r="K144" s="138">
        <f>SUM(K138:K143)</f>
        <v>129.23999999999998</v>
      </c>
      <c r="L144" s="142"/>
      <c r="M144" s="130">
        <f t="shared" ref="M144:Y144" si="29">SUM(M138:M143)</f>
        <v>0.64500000000000013</v>
      </c>
      <c r="N144" s="104">
        <f t="shared" si="29"/>
        <v>0.5162500000000001</v>
      </c>
      <c r="O144" s="104">
        <f t="shared" si="29"/>
        <v>337.23</v>
      </c>
      <c r="P144" s="104">
        <f t="shared" si="29"/>
        <v>12.290000000000001</v>
      </c>
      <c r="Q144" s="104">
        <f t="shared" si="29"/>
        <v>73.259999999999991</v>
      </c>
      <c r="R144" s="104">
        <f t="shared" si="29"/>
        <v>1223.7</v>
      </c>
      <c r="S144" s="104">
        <f t="shared" si="29"/>
        <v>1352.7</v>
      </c>
      <c r="T144" s="104">
        <f t="shared" si="29"/>
        <v>198.92999999999998</v>
      </c>
      <c r="U144" s="104">
        <f t="shared" si="29"/>
        <v>181.5</v>
      </c>
      <c r="V144" s="104">
        <f t="shared" si="29"/>
        <v>440.5</v>
      </c>
      <c r="W144" s="104">
        <f t="shared" si="29"/>
        <v>8.26</v>
      </c>
      <c r="X144" s="104">
        <f t="shared" si="29"/>
        <v>63.3</v>
      </c>
      <c r="Y144" s="104">
        <f t="shared" si="29"/>
        <v>54.86</v>
      </c>
    </row>
    <row r="145" spans="1:25" s="219" customFormat="1" ht="22.05" customHeight="1" x14ac:dyDescent="0.3">
      <c r="A145" s="14"/>
      <c r="B145" s="35"/>
      <c r="C145" s="39"/>
      <c r="D145" s="39"/>
      <c r="E145" s="216">
        <f>(E28+E41+E54+E67+E80+E94+E107+E120+E132+E144)/10</f>
        <v>710.1</v>
      </c>
      <c r="F145" s="91">
        <f>(F28+F41+F54+F67+F80+F94+F107+F120+F132+F144)/10</f>
        <v>21.298639999999999</v>
      </c>
      <c r="G145" s="91">
        <f>(G28+G41+G54+G67+G80+G94+G107+G120+G132+G144)/10</f>
        <v>20.540019999999998</v>
      </c>
      <c r="H145" s="91">
        <f>(H28+H41+H54+H67+H80+H94+H107+H120+H132+H144)/10</f>
        <v>87.84320000000001</v>
      </c>
      <c r="I145" s="91">
        <f>(I28+I41+I54+I67+I80+I94+I107+I120+I132+I144)/10</f>
        <v>640.30221000000006</v>
      </c>
      <c r="J145" s="216"/>
      <c r="K145" s="217"/>
      <c r="L145" s="217"/>
      <c r="M145" s="218"/>
      <c r="N145" s="218"/>
      <c r="O145" s="218"/>
      <c r="P145" s="218"/>
      <c r="Q145" s="218"/>
      <c r="R145" s="218"/>
      <c r="S145" s="218"/>
      <c r="T145" s="218"/>
      <c r="U145" s="218"/>
      <c r="V145" s="218"/>
      <c r="W145" s="218"/>
      <c r="X145" s="218"/>
      <c r="Y145" s="218"/>
    </row>
    <row r="146" spans="1:25" s="219" customFormat="1" ht="22.05" customHeight="1" x14ac:dyDescent="0.3">
      <c r="A146" s="14"/>
      <c r="B146" s="35"/>
      <c r="C146" s="39"/>
      <c r="D146" s="39"/>
      <c r="E146" s="216"/>
      <c r="F146" s="91"/>
      <c r="G146" s="91"/>
      <c r="H146" s="91"/>
      <c r="I146" s="91"/>
      <c r="J146" s="216"/>
      <c r="K146" s="217"/>
      <c r="L146" s="217"/>
      <c r="M146" s="218"/>
      <c r="N146" s="218"/>
      <c r="O146" s="218"/>
      <c r="P146" s="218"/>
      <c r="Q146" s="218"/>
      <c r="R146" s="218"/>
      <c r="S146" s="218"/>
      <c r="T146" s="218"/>
      <c r="U146" s="218"/>
      <c r="V146" s="218"/>
      <c r="W146" s="218"/>
      <c r="X146" s="218"/>
      <c r="Y146" s="218"/>
    </row>
    <row r="147" spans="1:25" s="219" customFormat="1" ht="22.05" customHeight="1" x14ac:dyDescent="0.3">
      <c r="A147" s="14"/>
      <c r="B147" s="35"/>
      <c r="C147" s="39"/>
      <c r="D147" s="39"/>
      <c r="E147" s="216">
        <v>50</v>
      </c>
      <c r="F147" s="91">
        <v>1.74</v>
      </c>
      <c r="G147" s="91">
        <v>0.32</v>
      </c>
      <c r="H147" s="91">
        <v>10.7</v>
      </c>
      <c r="I147" s="91">
        <v>67.11</v>
      </c>
      <c r="J147" s="216"/>
      <c r="K147" s="217"/>
      <c r="L147" s="217"/>
      <c r="M147" s="218"/>
      <c r="N147" s="218"/>
      <c r="O147" s="218"/>
      <c r="P147" s="218"/>
      <c r="Q147" s="218"/>
      <c r="R147" s="218"/>
      <c r="S147" s="218"/>
      <c r="T147" s="218"/>
      <c r="U147" s="218"/>
      <c r="V147" s="218"/>
      <c r="W147" s="218"/>
      <c r="X147" s="218"/>
      <c r="Y147" s="218"/>
    </row>
    <row r="148" spans="1:25" s="219" customFormat="1" ht="22.05" customHeight="1" x14ac:dyDescent="0.3">
      <c r="A148" s="14"/>
      <c r="B148" s="35"/>
      <c r="C148" s="39"/>
      <c r="D148" s="39"/>
      <c r="E148" s="216">
        <v>40</v>
      </c>
      <c r="F148" s="91">
        <v>0.76</v>
      </c>
      <c r="G148" s="91">
        <v>0.18</v>
      </c>
      <c r="H148" s="91">
        <v>10</v>
      </c>
      <c r="I148" s="91">
        <v>49.49</v>
      </c>
      <c r="J148" s="216"/>
      <c r="K148" s="217"/>
      <c r="L148" s="217"/>
      <c r="M148" s="218"/>
      <c r="N148" s="218"/>
      <c r="O148" s="218"/>
      <c r="P148" s="218"/>
      <c r="Q148" s="218"/>
      <c r="R148" s="218"/>
      <c r="S148" s="218"/>
      <c r="T148" s="218"/>
      <c r="U148" s="218"/>
      <c r="V148" s="218"/>
      <c r="W148" s="218"/>
      <c r="X148" s="218"/>
      <c r="Y148" s="218"/>
    </row>
    <row r="149" spans="1:25" ht="22.05" customHeight="1" x14ac:dyDescent="0.3">
      <c r="B149" s="237" t="s">
        <v>38</v>
      </c>
      <c r="C149" s="237"/>
      <c r="D149" s="237"/>
      <c r="E149" s="237"/>
      <c r="F149" s="237"/>
      <c r="G149" s="237"/>
      <c r="H149" s="237"/>
      <c r="I149" s="237"/>
      <c r="J149" s="5"/>
      <c r="K149" s="62"/>
      <c r="L149" s="62"/>
    </row>
    <row r="150" spans="1:25" ht="22.05" customHeight="1" x14ac:dyDescent="0.3">
      <c r="B150" s="237"/>
      <c r="C150" s="237"/>
      <c r="D150" s="237"/>
      <c r="E150" s="237"/>
      <c r="F150" s="237"/>
      <c r="G150" s="237"/>
      <c r="H150" s="237"/>
      <c r="I150" s="237"/>
      <c r="J150" s="6"/>
      <c r="K150" s="62"/>
      <c r="L150" s="62"/>
    </row>
    <row r="151" spans="1:25" ht="22.05" customHeight="1" x14ac:dyDescent="0.3">
      <c r="B151" s="237"/>
      <c r="C151" s="237"/>
      <c r="D151" s="237"/>
      <c r="E151" s="237"/>
      <c r="F151" s="237"/>
      <c r="G151" s="237"/>
      <c r="H151" s="237"/>
      <c r="I151" s="237"/>
      <c r="J151" s="7"/>
      <c r="K151" s="62"/>
      <c r="L151" s="62"/>
    </row>
    <row r="152" spans="1:25" ht="22.05" customHeight="1" x14ac:dyDescent="0.3">
      <c r="B152" s="238"/>
      <c r="C152" s="238"/>
      <c r="D152" s="238"/>
      <c r="E152" s="238"/>
      <c r="F152" s="238"/>
      <c r="G152" s="238"/>
      <c r="H152" s="238"/>
      <c r="I152" s="238"/>
      <c r="J152" s="85"/>
      <c r="K152" s="62"/>
      <c r="L152" s="62"/>
    </row>
    <row r="153" spans="1:25" ht="22.05" customHeight="1" x14ac:dyDescent="0.3">
      <c r="B153" s="239" t="s">
        <v>54</v>
      </c>
      <c r="C153" s="239"/>
      <c r="D153" s="239"/>
      <c r="E153" s="239"/>
      <c r="F153" s="239"/>
      <c r="G153" s="239"/>
      <c r="H153" s="239"/>
      <c r="I153" s="239"/>
      <c r="J153" s="22">
        <v>1</v>
      </c>
    </row>
    <row r="154" spans="1:25" ht="22.05" customHeight="1" x14ac:dyDescent="0.3">
      <c r="B154" s="240" t="s">
        <v>42</v>
      </c>
      <c r="C154" s="240"/>
      <c r="D154" s="240"/>
      <c r="E154" s="240"/>
      <c r="F154" s="240"/>
      <c r="G154" s="240"/>
      <c r="H154" s="240"/>
      <c r="I154" s="240"/>
      <c r="J154" s="22">
        <v>2</v>
      </c>
      <c r="K154" s="62"/>
      <c r="L154" s="62"/>
    </row>
    <row r="155" spans="1:25" ht="22.05" customHeight="1" x14ac:dyDescent="0.3">
      <c r="B155" s="240" t="s">
        <v>43</v>
      </c>
      <c r="C155" s="240"/>
      <c r="D155" s="240"/>
      <c r="E155" s="240"/>
      <c r="F155" s="240"/>
      <c r="G155" s="240"/>
      <c r="H155" s="240"/>
      <c r="I155" s="240"/>
      <c r="J155" s="22">
        <v>3</v>
      </c>
      <c r="K155" s="62"/>
      <c r="L155" s="62"/>
    </row>
    <row r="156" spans="1:25" ht="22.05" customHeight="1" x14ac:dyDescent="0.3">
      <c r="B156" s="236" t="s">
        <v>45</v>
      </c>
      <c r="C156" s="236"/>
      <c r="D156" s="236"/>
      <c r="E156" s="236"/>
      <c r="F156" s="236"/>
      <c r="G156" s="236"/>
      <c r="H156" s="236"/>
      <c r="I156" s="236"/>
      <c r="J156" s="22">
        <v>4</v>
      </c>
      <c r="K156" s="62"/>
      <c r="L156" s="62"/>
    </row>
    <row r="157" spans="1:25" ht="22.05" customHeight="1" x14ac:dyDescent="0.3">
      <c r="B157" s="30"/>
      <c r="C157" s="8"/>
      <c r="D157" s="8"/>
      <c r="E157" s="8"/>
      <c r="F157" s="8"/>
      <c r="G157" s="8"/>
      <c r="H157" s="8"/>
      <c r="I157" s="8"/>
      <c r="J157" s="8"/>
      <c r="K157" s="62"/>
      <c r="L157" s="62"/>
    </row>
  </sheetData>
  <mergeCells count="221">
    <mergeCell ref="M18:Y18"/>
    <mergeCell ref="M31:Y31"/>
    <mergeCell ref="M57:Y57"/>
    <mergeCell ref="M44:Y44"/>
    <mergeCell ref="M70:Y70"/>
    <mergeCell ref="M83:Y83"/>
    <mergeCell ref="M19:Y19"/>
    <mergeCell ref="M20:Y20"/>
    <mergeCell ref="M32:Y32"/>
    <mergeCell ref="M33:Y33"/>
    <mergeCell ref="M45:Y45"/>
    <mergeCell ref="M46:Y46"/>
    <mergeCell ref="M58:Y58"/>
    <mergeCell ref="M59:Y59"/>
    <mergeCell ref="C28:D28"/>
    <mergeCell ref="C30:D30"/>
    <mergeCell ref="B32:B33"/>
    <mergeCell ref="C32:D33"/>
    <mergeCell ref="C35:D35"/>
    <mergeCell ref="M71:Y71"/>
    <mergeCell ref="M72:Y72"/>
    <mergeCell ref="M85:Y85"/>
    <mergeCell ref="E58:E59"/>
    <mergeCell ref="F58:H58"/>
    <mergeCell ref="I58:I59"/>
    <mergeCell ref="M84:Y84"/>
    <mergeCell ref="E32:E33"/>
    <mergeCell ref="F32:H32"/>
    <mergeCell ref="C41:D41"/>
    <mergeCell ref="K45:K46"/>
    <mergeCell ref="B47:K47"/>
    <mergeCell ref="B44:K44"/>
    <mergeCell ref="C52:D52"/>
    <mergeCell ref="B48:B53"/>
    <mergeCell ref="F84:H84"/>
    <mergeCell ref="I84:I85"/>
    <mergeCell ref="J84:J85"/>
    <mergeCell ref="K84:K85"/>
    <mergeCell ref="B1:J1"/>
    <mergeCell ref="B2:J2"/>
    <mergeCell ref="B3:J3"/>
    <mergeCell ref="H5:J5"/>
    <mergeCell ref="G6:J6"/>
    <mergeCell ref="G7:J7"/>
    <mergeCell ref="B19:B20"/>
    <mergeCell ref="C19:D20"/>
    <mergeCell ref="E19:E20"/>
    <mergeCell ref="F19:H19"/>
    <mergeCell ref="I19:I20"/>
    <mergeCell ref="J19:J20"/>
    <mergeCell ref="G8:J8"/>
    <mergeCell ref="B12:J12"/>
    <mergeCell ref="B13:J13"/>
    <mergeCell ref="B14:J14"/>
    <mergeCell ref="B15:J15"/>
    <mergeCell ref="B17:D17"/>
    <mergeCell ref="B18:K18"/>
    <mergeCell ref="C66:D66"/>
    <mergeCell ref="B60:K60"/>
    <mergeCell ref="B57:K57"/>
    <mergeCell ref="B61:B66"/>
    <mergeCell ref="C62:D62"/>
    <mergeCell ref="C63:D63"/>
    <mergeCell ref="C64:D64"/>
    <mergeCell ref="C65:D65"/>
    <mergeCell ref="K58:K59"/>
    <mergeCell ref="B58:B59"/>
    <mergeCell ref="C48:D48"/>
    <mergeCell ref="C61:D61"/>
    <mergeCell ref="J32:J33"/>
    <mergeCell ref="B31:K31"/>
    <mergeCell ref="B35:B40"/>
    <mergeCell ref="C36:D36"/>
    <mergeCell ref="C37:D37"/>
    <mergeCell ref="C38:D38"/>
    <mergeCell ref="C39:D39"/>
    <mergeCell ref="C40:D40"/>
    <mergeCell ref="K32:K33"/>
    <mergeCell ref="B34:K34"/>
    <mergeCell ref="I32:I33"/>
    <mergeCell ref="C49:D49"/>
    <mergeCell ref="C58:D59"/>
    <mergeCell ref="C53:D53"/>
    <mergeCell ref="J58:J59"/>
    <mergeCell ref="B22:B27"/>
    <mergeCell ref="C22:D22"/>
    <mergeCell ref="C24:D24"/>
    <mergeCell ref="C25:D25"/>
    <mergeCell ref="K19:K20"/>
    <mergeCell ref="B21:K21"/>
    <mergeCell ref="C27:D27"/>
    <mergeCell ref="C26:D26"/>
    <mergeCell ref="C23:D23"/>
    <mergeCell ref="M112:Y112"/>
    <mergeCell ref="M97:Y97"/>
    <mergeCell ref="M110:Y110"/>
    <mergeCell ref="C118:D118"/>
    <mergeCell ref="C116:D116"/>
    <mergeCell ref="F111:H111"/>
    <mergeCell ref="I111:I112"/>
    <mergeCell ref="B110:K110"/>
    <mergeCell ref="C92:D92"/>
    <mergeCell ref="B100:K100"/>
    <mergeCell ref="C104:D104"/>
    <mergeCell ref="C115:D115"/>
    <mergeCell ref="C114:D114"/>
    <mergeCell ref="C101:D101"/>
    <mergeCell ref="C103:D103"/>
    <mergeCell ref="C106:D106"/>
    <mergeCell ref="B70:K70"/>
    <mergeCell ref="B98:B99"/>
    <mergeCell ref="C98:D99"/>
    <mergeCell ref="E98:E99"/>
    <mergeCell ref="F98:H98"/>
    <mergeCell ref="I98:I99"/>
    <mergeCell ref="J98:J99"/>
    <mergeCell ref="K98:K99"/>
    <mergeCell ref="E84:E85"/>
    <mergeCell ref="C93:D93"/>
    <mergeCell ref="C84:D85"/>
    <mergeCell ref="C94:D94"/>
    <mergeCell ref="B97:K97"/>
    <mergeCell ref="C80:D80"/>
    <mergeCell ref="B82:D82"/>
    <mergeCell ref="K71:K72"/>
    <mergeCell ref="M123:Y123"/>
    <mergeCell ref="C129:D129"/>
    <mergeCell ref="C130:D130"/>
    <mergeCell ref="B124:B125"/>
    <mergeCell ref="C124:D125"/>
    <mergeCell ref="E124:E125"/>
    <mergeCell ref="E71:E72"/>
    <mergeCell ref="F71:H71"/>
    <mergeCell ref="I71:I72"/>
    <mergeCell ref="J71:J72"/>
    <mergeCell ref="B73:K73"/>
    <mergeCell ref="B74:B79"/>
    <mergeCell ref="C75:D75"/>
    <mergeCell ref="C76:D76"/>
    <mergeCell ref="C77:D77"/>
    <mergeCell ref="B84:B85"/>
    <mergeCell ref="C87:D87"/>
    <mergeCell ref="C89:D89"/>
    <mergeCell ref="C74:D74"/>
    <mergeCell ref="C78:D78"/>
    <mergeCell ref="C79:D79"/>
    <mergeCell ref="B87:B93"/>
    <mergeCell ref="B123:K123"/>
    <mergeCell ref="C117:D117"/>
    <mergeCell ref="M135:Y135"/>
    <mergeCell ref="B154:I154"/>
    <mergeCell ref="B155:I155"/>
    <mergeCell ref="J124:J125"/>
    <mergeCell ref="B71:B72"/>
    <mergeCell ref="C71:D72"/>
    <mergeCell ref="M98:Y98"/>
    <mergeCell ref="M99:Y99"/>
    <mergeCell ref="K124:K125"/>
    <mergeCell ref="B126:K126"/>
    <mergeCell ref="M111:Y111"/>
    <mergeCell ref="C111:D112"/>
    <mergeCell ref="E111:E112"/>
    <mergeCell ref="B86:K86"/>
    <mergeCell ref="M124:Y124"/>
    <mergeCell ref="M125:Y125"/>
    <mergeCell ref="J111:J112"/>
    <mergeCell ref="K111:K112"/>
    <mergeCell ref="B111:B112"/>
    <mergeCell ref="I124:I125"/>
    <mergeCell ref="C91:D91"/>
    <mergeCell ref="C88:D88"/>
    <mergeCell ref="C90:D90"/>
    <mergeCell ref="C102:D102"/>
    <mergeCell ref="C131:D131"/>
    <mergeCell ref="C128:D128"/>
    <mergeCell ref="B156:I156"/>
    <mergeCell ref="B45:B46"/>
    <mergeCell ref="C45:D46"/>
    <mergeCell ref="E45:E46"/>
    <mergeCell ref="F45:H45"/>
    <mergeCell ref="I45:I46"/>
    <mergeCell ref="J45:J46"/>
    <mergeCell ref="C144:D144"/>
    <mergeCell ref="B149:I151"/>
    <mergeCell ref="B152:I152"/>
    <mergeCell ref="B153:I153"/>
    <mergeCell ref="C120:D120"/>
    <mergeCell ref="C107:D107"/>
    <mergeCell ref="B114:B119"/>
    <mergeCell ref="C50:D50"/>
    <mergeCell ref="C51:D51"/>
    <mergeCell ref="C54:D54"/>
    <mergeCell ref="F124:H124"/>
    <mergeCell ref="B83:K83"/>
    <mergeCell ref="B113:K113"/>
    <mergeCell ref="C67:D67"/>
    <mergeCell ref="B69:D69"/>
    <mergeCell ref="C119:D119"/>
    <mergeCell ref="C105:D105"/>
    <mergeCell ref="B101:B106"/>
    <mergeCell ref="C127:D127"/>
    <mergeCell ref="B134:K134"/>
    <mergeCell ref="C132:D132"/>
    <mergeCell ref="M136:Y136"/>
    <mergeCell ref="B138:B143"/>
    <mergeCell ref="C141:D141"/>
    <mergeCell ref="C142:D142"/>
    <mergeCell ref="B135:B136"/>
    <mergeCell ref="C135:D136"/>
    <mergeCell ref="E135:E136"/>
    <mergeCell ref="F135:H135"/>
    <mergeCell ref="I135:I136"/>
    <mergeCell ref="J135:J136"/>
    <mergeCell ref="K135:K136"/>
    <mergeCell ref="B137:K137"/>
    <mergeCell ref="C139:D139"/>
    <mergeCell ref="C138:D138"/>
    <mergeCell ref="C140:D140"/>
    <mergeCell ref="C143:D143"/>
    <mergeCell ref="M134:Y134"/>
    <mergeCell ref="B127:B131"/>
  </mergeCells>
  <phoneticPr fontId="33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rowBreaks count="11" manualBreakCount="11">
    <brk id="16" max="16383" man="1"/>
    <brk id="29" max="16383" man="1"/>
    <brk id="42" max="16383" man="1"/>
    <brk id="55" max="16383" man="1"/>
    <brk id="68" max="23" man="1"/>
    <brk id="81" max="23" man="1"/>
    <brk id="95" max="16383" man="1"/>
    <brk id="108" max="16383" man="1"/>
    <brk id="120" max="16383" man="1"/>
    <brk id="132" max="16383" man="1"/>
    <brk id="1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193"/>
  <sheetViews>
    <sheetView topLeftCell="A19" zoomScale="80" zoomScaleNormal="80" workbookViewId="0">
      <selection activeCell="C22" sqref="C22:J26"/>
    </sheetView>
  </sheetViews>
  <sheetFormatPr defaultColWidth="9.109375" defaultRowHeight="15" customHeight="1" x14ac:dyDescent="0.3"/>
  <cols>
    <col min="1" max="1" width="7.109375" style="1" customWidth="1"/>
    <col min="2" max="2" width="14.5546875" style="1" customWidth="1"/>
    <col min="3" max="3" width="9.109375" style="1" customWidth="1"/>
    <col min="4" max="4" width="45.44140625" style="1" customWidth="1"/>
    <col min="5" max="5" width="9.109375" style="1" customWidth="1"/>
    <col min="6" max="6" width="9" style="1" customWidth="1"/>
    <col min="7" max="7" width="9.44140625" style="1" customWidth="1"/>
    <col min="8" max="8" width="12.109375" style="1" customWidth="1"/>
    <col min="9" max="9" width="11.5546875" style="1" customWidth="1"/>
    <col min="10" max="10" width="13.21875" style="1" customWidth="1"/>
    <col min="11" max="11" width="11.33203125" style="1" hidden="1" customWidth="1"/>
    <col min="12" max="12" width="1.88671875" style="1" customWidth="1"/>
    <col min="13" max="25" width="9.109375" style="106" customWidth="1"/>
  </cols>
  <sheetData>
    <row r="1" spans="2:25" ht="22.05" customHeight="1" x14ac:dyDescent="0.3">
      <c r="B1" s="243" t="s">
        <v>102</v>
      </c>
      <c r="C1" s="243"/>
      <c r="D1" s="243"/>
      <c r="E1" s="243"/>
      <c r="F1" s="243"/>
      <c r="G1" s="243"/>
      <c r="H1" s="243"/>
      <c r="I1" s="243"/>
      <c r="J1" s="243"/>
    </row>
    <row r="2" spans="2:25" ht="22.05" customHeight="1" x14ac:dyDescent="0.3">
      <c r="B2" s="248" t="s">
        <v>95</v>
      </c>
      <c r="C2" s="248"/>
      <c r="D2" s="248"/>
      <c r="E2" s="248"/>
      <c r="F2" s="248"/>
      <c r="G2" s="248"/>
      <c r="H2" s="248"/>
      <c r="I2" s="248"/>
      <c r="J2" s="248"/>
    </row>
    <row r="3" spans="2:25" ht="22.05" customHeight="1" x14ac:dyDescent="0.3">
      <c r="B3" s="249" t="s">
        <v>96</v>
      </c>
      <c r="C3" s="249"/>
      <c r="D3" s="249"/>
      <c r="E3" s="249"/>
      <c r="F3" s="249"/>
      <c r="G3" s="249"/>
      <c r="H3" s="249"/>
      <c r="I3" s="249"/>
      <c r="J3" s="249"/>
    </row>
    <row r="4" spans="2:25" ht="22.05" customHeight="1" x14ac:dyDescent="0.3">
      <c r="B4" s="62"/>
      <c r="C4" s="62"/>
      <c r="D4" s="62"/>
      <c r="E4" s="62"/>
      <c r="F4" s="62"/>
      <c r="G4" s="62"/>
      <c r="H4" s="62"/>
      <c r="I4" s="62"/>
      <c r="J4" s="62"/>
    </row>
    <row r="5" spans="2:25" ht="22.05" customHeight="1" x14ac:dyDescent="0.3">
      <c r="B5" s="62"/>
      <c r="C5" s="62"/>
      <c r="D5" s="62"/>
      <c r="E5" s="62"/>
      <c r="F5" s="62"/>
      <c r="G5" s="61"/>
      <c r="H5" s="244" t="s">
        <v>103</v>
      </c>
      <c r="I5" s="244"/>
      <c r="J5" s="244"/>
    </row>
    <row r="6" spans="2:25" ht="22.05" customHeight="1" x14ac:dyDescent="0.3">
      <c r="B6" s="62"/>
      <c r="C6" s="62"/>
      <c r="D6" s="62"/>
      <c r="E6" s="62"/>
      <c r="F6" s="62"/>
      <c r="G6" s="244" t="s">
        <v>183</v>
      </c>
      <c r="H6" s="244"/>
      <c r="I6" s="244"/>
      <c r="J6" s="244"/>
    </row>
    <row r="7" spans="2:25" ht="22.05" customHeight="1" x14ac:dyDescent="0.3">
      <c r="B7" s="62"/>
      <c r="C7" s="62"/>
      <c r="D7" s="62"/>
      <c r="E7" s="62"/>
      <c r="F7" s="62"/>
      <c r="G7" s="244" t="s">
        <v>181</v>
      </c>
      <c r="H7" s="244"/>
      <c r="I7" s="244"/>
      <c r="J7" s="244"/>
    </row>
    <row r="8" spans="2:25" ht="22.05" customHeight="1" x14ac:dyDescent="0.3">
      <c r="B8" s="33"/>
      <c r="C8" s="33"/>
      <c r="D8" s="33"/>
      <c r="E8" s="33"/>
      <c r="F8" s="33"/>
      <c r="G8" s="245" t="s">
        <v>184</v>
      </c>
      <c r="H8" s="245"/>
      <c r="I8" s="245"/>
      <c r="J8" s="245"/>
    </row>
    <row r="9" spans="2:25" ht="22.05" customHeight="1" x14ac:dyDescent="0.3">
      <c r="B9" s="33"/>
      <c r="C9" s="33"/>
      <c r="D9" s="33"/>
      <c r="E9" s="33"/>
      <c r="F9" s="33"/>
      <c r="G9" s="33"/>
      <c r="H9" s="33"/>
      <c r="I9" s="33"/>
      <c r="J9" s="33"/>
    </row>
    <row r="10" spans="2:25" ht="22.05" customHeight="1" x14ac:dyDescent="0.45">
      <c r="B10" s="32"/>
      <c r="C10" s="32"/>
      <c r="D10" s="32"/>
      <c r="E10" s="32"/>
      <c r="F10" s="32"/>
      <c r="G10" s="32"/>
      <c r="H10" s="32"/>
      <c r="I10" s="32"/>
      <c r="J10" s="29"/>
    </row>
    <row r="11" spans="2:25" ht="22.05" customHeight="1" x14ac:dyDescent="0.45">
      <c r="B11" s="32"/>
      <c r="C11" s="32"/>
      <c r="D11" s="32"/>
      <c r="E11" s="32"/>
      <c r="F11" s="32"/>
      <c r="G11" s="32"/>
      <c r="H11" s="32"/>
      <c r="I11" s="32"/>
      <c r="J11" s="29"/>
    </row>
    <row r="12" spans="2:25" ht="22.05" customHeight="1" x14ac:dyDescent="0.4">
      <c r="B12" s="250" t="s">
        <v>98</v>
      </c>
      <c r="C12" s="251"/>
      <c r="D12" s="251"/>
      <c r="E12" s="251"/>
      <c r="F12" s="251"/>
      <c r="G12" s="251"/>
      <c r="H12" s="251"/>
      <c r="I12" s="251"/>
      <c r="J12" s="252"/>
    </row>
    <row r="13" spans="2:25" ht="22.05" customHeight="1" x14ac:dyDescent="0.4">
      <c r="B13" s="253" t="s">
        <v>93</v>
      </c>
      <c r="C13" s="254"/>
      <c r="D13" s="254"/>
      <c r="E13" s="254"/>
      <c r="F13" s="254"/>
      <c r="G13" s="254"/>
      <c r="H13" s="254"/>
      <c r="I13" s="254"/>
      <c r="J13" s="255"/>
    </row>
    <row r="14" spans="2:25" ht="22.05" customHeight="1" x14ac:dyDescent="0.4">
      <c r="B14" s="253" t="s">
        <v>94</v>
      </c>
      <c r="C14" s="254"/>
      <c r="D14" s="254"/>
      <c r="E14" s="254"/>
      <c r="F14" s="254"/>
      <c r="G14" s="254"/>
      <c r="H14" s="254"/>
      <c r="I14" s="254"/>
      <c r="J14" s="255"/>
    </row>
    <row r="15" spans="2:25" ht="22.05" customHeight="1" x14ac:dyDescent="0.4">
      <c r="B15" s="256" t="s">
        <v>221</v>
      </c>
      <c r="C15" s="257"/>
      <c r="D15" s="257"/>
      <c r="E15" s="257"/>
      <c r="F15" s="257"/>
      <c r="G15" s="257"/>
      <c r="H15" s="257"/>
      <c r="I15" s="257"/>
      <c r="J15" s="258"/>
    </row>
    <row r="16" spans="2:25" ht="22.05" customHeight="1" x14ac:dyDescent="0.3">
      <c r="B16" s="2"/>
      <c r="C16" s="2"/>
      <c r="D16" s="3"/>
      <c r="E16" s="186" t="s">
        <v>177</v>
      </c>
      <c r="F16" s="186">
        <v>3.48</v>
      </c>
      <c r="G16" s="186">
        <v>0.64</v>
      </c>
      <c r="H16" s="186">
        <v>21.4</v>
      </c>
      <c r="I16" s="186">
        <v>134.22</v>
      </c>
      <c r="J16" s="189"/>
      <c r="K16" s="189" t="s">
        <v>164</v>
      </c>
      <c r="L16" s="189"/>
      <c r="M16" s="191">
        <v>0.123</v>
      </c>
      <c r="N16" s="191">
        <v>7.5999999999999998E-2</v>
      </c>
      <c r="O16" s="191">
        <v>0</v>
      </c>
      <c r="P16" s="191">
        <v>1.68</v>
      </c>
      <c r="Q16" s="191">
        <v>0.06</v>
      </c>
      <c r="R16" s="191">
        <v>141.9</v>
      </c>
      <c r="S16" s="191">
        <v>37.5</v>
      </c>
      <c r="T16" s="191">
        <v>1.47</v>
      </c>
      <c r="U16" s="191">
        <v>12.3</v>
      </c>
      <c r="V16" s="191">
        <v>38.700000000000003</v>
      </c>
      <c r="W16" s="191">
        <v>1.08</v>
      </c>
      <c r="X16" s="191">
        <v>0</v>
      </c>
      <c r="Y16" s="191">
        <v>8.64</v>
      </c>
    </row>
    <row r="17" spans="1:25" ht="22.05" customHeight="1" x14ac:dyDescent="0.3">
      <c r="B17" s="2"/>
      <c r="C17" s="2"/>
      <c r="D17" s="3"/>
      <c r="E17" s="186" t="s">
        <v>178</v>
      </c>
      <c r="F17" s="186">
        <v>1.9</v>
      </c>
      <c r="G17" s="186">
        <v>0.45</v>
      </c>
      <c r="H17" s="186">
        <v>25</v>
      </c>
      <c r="I17" s="186">
        <v>123.73</v>
      </c>
      <c r="J17" s="189"/>
      <c r="K17" s="189" t="s">
        <v>165</v>
      </c>
      <c r="L17" s="189"/>
      <c r="M17" s="191">
        <v>0.13</v>
      </c>
      <c r="N17" s="191">
        <v>0.1</v>
      </c>
      <c r="O17" s="191">
        <v>0</v>
      </c>
      <c r="P17" s="191">
        <v>1.1399999999999999</v>
      </c>
      <c r="Q17" s="191">
        <v>0.12</v>
      </c>
      <c r="R17" s="191">
        <v>180.9</v>
      </c>
      <c r="S17" s="191">
        <v>21.9</v>
      </c>
      <c r="T17" s="191">
        <v>0.36</v>
      </c>
      <c r="U17" s="191">
        <v>12</v>
      </c>
      <c r="V17" s="191">
        <v>37.5</v>
      </c>
      <c r="W17" s="191">
        <v>0.85</v>
      </c>
      <c r="X17" s="191">
        <v>0</v>
      </c>
      <c r="Y17" s="191">
        <v>9.27</v>
      </c>
    </row>
    <row r="18" spans="1:25" s="19" customFormat="1" ht="22.05" customHeight="1" x14ac:dyDescent="0.3">
      <c r="A18" s="17"/>
      <c r="B18" s="225" t="s">
        <v>57</v>
      </c>
      <c r="C18" s="225"/>
      <c r="D18" s="225"/>
      <c r="E18" s="225"/>
      <c r="F18" s="225"/>
      <c r="G18" s="225"/>
      <c r="H18" s="225"/>
      <c r="I18" s="225"/>
      <c r="J18" s="225"/>
      <c r="K18" s="225"/>
      <c r="L18" s="17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</row>
    <row r="19" spans="1:25" s="19" customFormat="1" ht="22.05" customHeight="1" x14ac:dyDescent="0.3">
      <c r="A19" s="17"/>
      <c r="B19" s="225" t="s">
        <v>70</v>
      </c>
      <c r="C19" s="225" t="s">
        <v>1</v>
      </c>
      <c r="D19" s="225"/>
      <c r="E19" s="225" t="s">
        <v>2</v>
      </c>
      <c r="F19" s="225" t="s">
        <v>3</v>
      </c>
      <c r="G19" s="225"/>
      <c r="H19" s="225"/>
      <c r="I19" s="231" t="s">
        <v>142</v>
      </c>
      <c r="J19" s="225" t="s">
        <v>72</v>
      </c>
      <c r="K19" s="269" t="s">
        <v>180</v>
      </c>
      <c r="L19" s="151"/>
      <c r="M19" s="285" t="s">
        <v>156</v>
      </c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</row>
    <row r="20" spans="1:25" s="19" customFormat="1" ht="43.2" customHeight="1" x14ac:dyDescent="0.3">
      <c r="A20" s="17"/>
      <c r="B20" s="225"/>
      <c r="C20" s="225"/>
      <c r="D20" s="225"/>
      <c r="E20" s="225"/>
      <c r="F20" s="213" t="s">
        <v>139</v>
      </c>
      <c r="G20" s="213" t="s">
        <v>140</v>
      </c>
      <c r="H20" s="213" t="s">
        <v>141</v>
      </c>
      <c r="I20" s="231"/>
      <c r="J20" s="225"/>
      <c r="K20" s="269"/>
      <c r="L20" s="152"/>
      <c r="M20" s="292" t="s">
        <v>168</v>
      </c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</row>
    <row r="21" spans="1:25" s="19" customFormat="1" ht="22.05" customHeight="1" x14ac:dyDescent="0.3">
      <c r="A21" s="17"/>
      <c r="B21" s="268" t="s">
        <v>85</v>
      </c>
      <c r="C21" s="268"/>
      <c r="D21" s="268"/>
      <c r="E21" s="268"/>
      <c r="F21" s="268"/>
      <c r="G21" s="268"/>
      <c r="H21" s="268"/>
      <c r="I21" s="268"/>
      <c r="J21" s="268"/>
      <c r="K21" s="268"/>
      <c r="L21" s="155"/>
      <c r="M21" s="111" t="s">
        <v>143</v>
      </c>
      <c r="N21" s="111" t="s">
        <v>144</v>
      </c>
      <c r="O21" s="111" t="s">
        <v>145</v>
      </c>
      <c r="P21" s="111" t="s">
        <v>147</v>
      </c>
      <c r="Q21" s="111" t="s">
        <v>146</v>
      </c>
      <c r="R21" s="111" t="s">
        <v>148</v>
      </c>
      <c r="S21" s="111" t="s">
        <v>149</v>
      </c>
      <c r="T21" s="111" t="s">
        <v>150</v>
      </c>
      <c r="U21" s="111" t="s">
        <v>151</v>
      </c>
      <c r="V21" s="111" t="s">
        <v>152</v>
      </c>
      <c r="W21" s="111" t="s">
        <v>153</v>
      </c>
      <c r="X21" s="111" t="s">
        <v>154</v>
      </c>
      <c r="Y21" s="111" t="s">
        <v>155</v>
      </c>
    </row>
    <row r="22" spans="1:25" s="19" customFormat="1" ht="22.05" customHeight="1" x14ac:dyDescent="0.3">
      <c r="A22" s="17"/>
      <c r="B22" s="230" t="s">
        <v>4</v>
      </c>
      <c r="C22" s="232" t="s">
        <v>6</v>
      </c>
      <c r="D22" s="284"/>
      <c r="E22" s="48">
        <v>160</v>
      </c>
      <c r="F22" s="49">
        <v>6.7</v>
      </c>
      <c r="G22" s="49">
        <v>9.1999999999999993</v>
      </c>
      <c r="H22" s="49">
        <v>31</v>
      </c>
      <c r="I22" s="49">
        <v>233.7</v>
      </c>
      <c r="J22" s="50" t="s">
        <v>5</v>
      </c>
      <c r="K22" s="156">
        <v>20.28</v>
      </c>
      <c r="L22" s="150"/>
      <c r="M22" s="82">
        <v>0.19</v>
      </c>
      <c r="N22" s="82">
        <v>0.1</v>
      </c>
      <c r="O22" s="82">
        <v>34</v>
      </c>
      <c r="P22" s="82">
        <v>0.6</v>
      </c>
      <c r="Q22" s="82">
        <v>0</v>
      </c>
      <c r="R22" s="82">
        <v>362.4</v>
      </c>
      <c r="S22" s="82">
        <v>204</v>
      </c>
      <c r="T22" s="82">
        <v>103.2</v>
      </c>
      <c r="U22" s="82">
        <v>46.4</v>
      </c>
      <c r="V22" s="82">
        <v>148</v>
      </c>
      <c r="W22" s="82">
        <v>2.4</v>
      </c>
      <c r="X22" s="82">
        <v>41.3</v>
      </c>
      <c r="Y22" s="82">
        <v>2.5</v>
      </c>
    </row>
    <row r="23" spans="1:25" s="19" customFormat="1" ht="22.05" customHeight="1" x14ac:dyDescent="0.3">
      <c r="A23" s="17"/>
      <c r="B23" s="230"/>
      <c r="C23" s="224" t="s">
        <v>107</v>
      </c>
      <c r="D23" s="224"/>
      <c r="E23" s="48">
        <v>35</v>
      </c>
      <c r="F23" s="49">
        <f>F16/100*35</f>
        <v>1.218</v>
      </c>
      <c r="G23" s="49">
        <f>G16/100*35</f>
        <v>0.224</v>
      </c>
      <c r="H23" s="49">
        <f>H16/100*35</f>
        <v>7.49</v>
      </c>
      <c r="I23" s="49">
        <f>I16/100*35</f>
        <v>46.977000000000004</v>
      </c>
      <c r="J23" s="48" t="s">
        <v>60</v>
      </c>
      <c r="K23" s="156">
        <v>4</v>
      </c>
      <c r="L23" s="150"/>
      <c r="M23" s="82">
        <f>M16/30*35</f>
        <v>0.14350000000000002</v>
      </c>
      <c r="N23" s="82">
        <f t="shared" ref="N23:Y23" si="0">N16/30*35</f>
        <v>8.8666666666666658E-2</v>
      </c>
      <c r="O23" s="82">
        <f t="shared" si="0"/>
        <v>0</v>
      </c>
      <c r="P23" s="82">
        <f t="shared" si="0"/>
        <v>1.96</v>
      </c>
      <c r="Q23" s="82">
        <f t="shared" si="0"/>
        <v>7.0000000000000007E-2</v>
      </c>
      <c r="R23" s="82">
        <f t="shared" si="0"/>
        <v>165.55</v>
      </c>
      <c r="S23" s="82">
        <f t="shared" si="0"/>
        <v>43.75</v>
      </c>
      <c r="T23" s="82">
        <f t="shared" si="0"/>
        <v>1.7150000000000001</v>
      </c>
      <c r="U23" s="82">
        <f t="shared" si="0"/>
        <v>14.350000000000001</v>
      </c>
      <c r="V23" s="82">
        <f t="shared" si="0"/>
        <v>45.15</v>
      </c>
      <c r="W23" s="82">
        <f t="shared" si="0"/>
        <v>1.2600000000000002</v>
      </c>
      <c r="X23" s="82">
        <f t="shared" si="0"/>
        <v>0</v>
      </c>
      <c r="Y23" s="82">
        <f t="shared" si="0"/>
        <v>10.080000000000002</v>
      </c>
    </row>
    <row r="24" spans="1:25" s="19" customFormat="1" ht="22.05" customHeight="1" x14ac:dyDescent="0.3">
      <c r="A24" s="17"/>
      <c r="B24" s="230"/>
      <c r="C24" s="224" t="s">
        <v>115</v>
      </c>
      <c r="D24" s="224"/>
      <c r="E24" s="48">
        <v>28</v>
      </c>
      <c r="F24" s="49">
        <f>F17/100*28</f>
        <v>0.53200000000000003</v>
      </c>
      <c r="G24" s="49">
        <f>G17/100*28</f>
        <v>0.126</v>
      </c>
      <c r="H24" s="49">
        <f>H17/100*28</f>
        <v>7</v>
      </c>
      <c r="I24" s="49">
        <f>I17/100*28</f>
        <v>34.644400000000005</v>
      </c>
      <c r="J24" s="48" t="s">
        <v>60</v>
      </c>
      <c r="K24" s="156">
        <v>2.73</v>
      </c>
      <c r="L24" s="150"/>
      <c r="M24" s="82">
        <f>M17/30*28</f>
        <v>0.12133333333333332</v>
      </c>
      <c r="N24" s="82">
        <f t="shared" ref="N24:Y24" si="1">N17/30*28</f>
        <v>9.3333333333333338E-2</v>
      </c>
      <c r="O24" s="82">
        <f t="shared" si="1"/>
        <v>0</v>
      </c>
      <c r="P24" s="82">
        <f t="shared" si="1"/>
        <v>1.0640000000000001</v>
      </c>
      <c r="Q24" s="82">
        <f t="shared" si="1"/>
        <v>0.112</v>
      </c>
      <c r="R24" s="82">
        <f t="shared" si="1"/>
        <v>168.84</v>
      </c>
      <c r="S24" s="82">
        <f t="shared" si="1"/>
        <v>20.439999999999998</v>
      </c>
      <c r="T24" s="82">
        <f t="shared" si="1"/>
        <v>0.33600000000000002</v>
      </c>
      <c r="U24" s="82">
        <f t="shared" si="1"/>
        <v>11.200000000000001</v>
      </c>
      <c r="V24" s="82">
        <f t="shared" si="1"/>
        <v>35</v>
      </c>
      <c r="W24" s="82">
        <f t="shared" si="1"/>
        <v>0.79333333333333333</v>
      </c>
      <c r="X24" s="82">
        <f t="shared" si="1"/>
        <v>0</v>
      </c>
      <c r="Y24" s="82">
        <f t="shared" si="1"/>
        <v>8.6519999999999992</v>
      </c>
    </row>
    <row r="25" spans="1:25" s="19" customFormat="1" ht="22.05" customHeight="1" x14ac:dyDescent="0.3">
      <c r="A25" s="17"/>
      <c r="B25" s="230"/>
      <c r="C25" s="224" t="s">
        <v>211</v>
      </c>
      <c r="D25" s="224"/>
      <c r="E25" s="48">
        <v>200</v>
      </c>
      <c r="F25" s="49">
        <v>0.3</v>
      </c>
      <c r="G25" s="49">
        <v>0</v>
      </c>
      <c r="H25" s="49">
        <v>6.7</v>
      </c>
      <c r="I25" s="49">
        <v>27.6</v>
      </c>
      <c r="J25" s="50" t="s">
        <v>17</v>
      </c>
      <c r="K25" s="156">
        <v>5.72</v>
      </c>
      <c r="L25" s="150"/>
      <c r="M25" s="82">
        <v>0</v>
      </c>
      <c r="N25" s="82">
        <v>0.01</v>
      </c>
      <c r="O25" s="82">
        <v>0</v>
      </c>
      <c r="P25" s="82">
        <v>7.0000000000000007E-2</v>
      </c>
      <c r="Q25" s="82">
        <v>1</v>
      </c>
      <c r="R25" s="82">
        <v>2</v>
      </c>
      <c r="S25" s="82">
        <v>36</v>
      </c>
      <c r="T25" s="82">
        <v>6</v>
      </c>
      <c r="U25" s="82">
        <v>5</v>
      </c>
      <c r="V25" s="82">
        <v>8</v>
      </c>
      <c r="W25" s="82">
        <v>1</v>
      </c>
      <c r="X25" s="82">
        <v>0</v>
      </c>
      <c r="Y25" s="82">
        <v>0</v>
      </c>
    </row>
    <row r="26" spans="1:25" s="19" customFormat="1" ht="22.05" customHeight="1" x14ac:dyDescent="0.3">
      <c r="A26" s="17"/>
      <c r="B26" s="230"/>
      <c r="C26" s="224" t="s">
        <v>39</v>
      </c>
      <c r="D26" s="224"/>
      <c r="E26" s="48">
        <v>200</v>
      </c>
      <c r="F26" s="49">
        <v>0.8</v>
      </c>
      <c r="G26" s="49">
        <v>0.8</v>
      </c>
      <c r="H26" s="49">
        <v>19.600000000000001</v>
      </c>
      <c r="I26" s="49">
        <v>93.73</v>
      </c>
      <c r="J26" s="50">
        <v>338</v>
      </c>
      <c r="K26" s="156">
        <v>44</v>
      </c>
      <c r="L26" s="150"/>
      <c r="M26" s="82">
        <v>7.0000000000000007E-2</v>
      </c>
      <c r="N26" s="82">
        <v>0.04</v>
      </c>
      <c r="O26" s="82">
        <v>10</v>
      </c>
      <c r="P26" s="82">
        <v>0.76</v>
      </c>
      <c r="Q26" s="82">
        <v>20</v>
      </c>
      <c r="R26" s="82">
        <v>52</v>
      </c>
      <c r="S26" s="82">
        <v>556</v>
      </c>
      <c r="T26" s="82">
        <v>32</v>
      </c>
      <c r="U26" s="82">
        <v>18</v>
      </c>
      <c r="V26" s="82">
        <v>22</v>
      </c>
      <c r="W26" s="82">
        <v>4.4000000000000004</v>
      </c>
      <c r="X26" s="82">
        <v>4</v>
      </c>
      <c r="Y26" s="82">
        <v>0.6</v>
      </c>
    </row>
    <row r="27" spans="1:25" s="19" customFormat="1" ht="22.05" customHeight="1" x14ac:dyDescent="0.3">
      <c r="A27" s="17"/>
      <c r="B27" s="65"/>
      <c r="C27" s="272" t="s">
        <v>213</v>
      </c>
      <c r="D27" s="273"/>
      <c r="E27" s="66">
        <f>SUM(E22:E26)</f>
        <v>623</v>
      </c>
      <c r="F27" s="68">
        <f>SUM(F22:F26)</f>
        <v>9.5500000000000007</v>
      </c>
      <c r="G27" s="68">
        <f>SUM(G22:G26)</f>
        <v>10.35</v>
      </c>
      <c r="H27" s="68">
        <f>SUM(H22:H26)</f>
        <v>71.790000000000006</v>
      </c>
      <c r="I27" s="68">
        <f>SUM(I22:I26)</f>
        <v>436.65140000000008</v>
      </c>
      <c r="J27" s="67"/>
      <c r="K27" s="157">
        <f>SUM(K22:K26)</f>
        <v>76.73</v>
      </c>
      <c r="L27" s="150"/>
      <c r="M27" s="102">
        <f t="shared" ref="M27:Y27" si="2">SUM(M22:M26)</f>
        <v>0.52483333333333326</v>
      </c>
      <c r="N27" s="102">
        <f t="shared" si="2"/>
        <v>0.33199999999999996</v>
      </c>
      <c r="O27" s="102">
        <f t="shared" si="2"/>
        <v>44</v>
      </c>
      <c r="P27" s="102">
        <f t="shared" si="2"/>
        <v>4.4539999999999997</v>
      </c>
      <c r="Q27" s="102">
        <f t="shared" si="2"/>
        <v>21.181999999999999</v>
      </c>
      <c r="R27" s="102">
        <f t="shared" si="2"/>
        <v>750.79000000000008</v>
      </c>
      <c r="S27" s="102">
        <f t="shared" si="2"/>
        <v>860.19</v>
      </c>
      <c r="T27" s="102">
        <f t="shared" si="2"/>
        <v>143.251</v>
      </c>
      <c r="U27" s="102">
        <f t="shared" si="2"/>
        <v>94.95</v>
      </c>
      <c r="V27" s="102">
        <f t="shared" si="2"/>
        <v>258.14999999999998</v>
      </c>
      <c r="W27" s="102">
        <f t="shared" si="2"/>
        <v>9.8533333333333335</v>
      </c>
      <c r="X27" s="102">
        <f t="shared" si="2"/>
        <v>45.3</v>
      </c>
      <c r="Y27" s="102">
        <f t="shared" si="2"/>
        <v>21.832000000000001</v>
      </c>
    </row>
    <row r="28" spans="1:25" s="184" customFormat="1" ht="22.05" customHeight="1" x14ac:dyDescent="0.3">
      <c r="A28" s="17"/>
      <c r="B28" s="95"/>
      <c r="C28" s="96"/>
      <c r="D28" s="97"/>
      <c r="E28" s="98"/>
      <c r="F28" s="99"/>
      <c r="G28" s="99"/>
      <c r="H28" s="99"/>
      <c r="I28" s="99"/>
      <c r="J28" s="100"/>
      <c r="K28" s="160"/>
      <c r="L28" s="18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</row>
    <row r="29" spans="1:25" ht="22.05" customHeight="1" x14ac:dyDescent="0.3">
      <c r="A29" s="12"/>
      <c r="B29" s="35"/>
      <c r="C29" s="60"/>
      <c r="D29" s="60"/>
      <c r="E29" s="14"/>
      <c r="F29" s="36"/>
      <c r="G29" s="36"/>
      <c r="H29" s="36"/>
      <c r="I29" s="36"/>
      <c r="J29" s="14"/>
      <c r="K29" s="5"/>
      <c r="L29" s="5"/>
    </row>
    <row r="30" spans="1:25" s="19" customFormat="1" ht="22.05" customHeight="1" x14ac:dyDescent="0.3">
      <c r="A30" s="17"/>
      <c r="B30" s="225" t="s">
        <v>57</v>
      </c>
      <c r="C30" s="225"/>
      <c r="D30" s="225"/>
      <c r="E30" s="225"/>
      <c r="F30" s="225"/>
      <c r="G30" s="225"/>
      <c r="H30" s="225"/>
      <c r="I30" s="225"/>
      <c r="J30" s="225"/>
      <c r="K30" s="225"/>
      <c r="L30" s="18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</row>
    <row r="31" spans="1:25" s="19" customFormat="1" ht="22.05" customHeight="1" x14ac:dyDescent="0.3">
      <c r="A31" s="17"/>
      <c r="B31" s="225" t="s">
        <v>70</v>
      </c>
      <c r="C31" s="225" t="s">
        <v>1</v>
      </c>
      <c r="D31" s="225"/>
      <c r="E31" s="225" t="s">
        <v>2</v>
      </c>
      <c r="F31" s="225" t="s">
        <v>3</v>
      </c>
      <c r="G31" s="225"/>
      <c r="H31" s="225"/>
      <c r="I31" s="231" t="s">
        <v>142</v>
      </c>
      <c r="J31" s="225" t="s">
        <v>0</v>
      </c>
      <c r="K31" s="269" t="s">
        <v>180</v>
      </c>
      <c r="L31" s="153"/>
      <c r="M31" s="286" t="s">
        <v>156</v>
      </c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7"/>
      <c r="Y31" s="288"/>
    </row>
    <row r="32" spans="1:25" s="19" customFormat="1" ht="43.2" customHeight="1" x14ac:dyDescent="0.3">
      <c r="A32" s="17"/>
      <c r="B32" s="225"/>
      <c r="C32" s="225"/>
      <c r="D32" s="225"/>
      <c r="E32" s="225"/>
      <c r="F32" s="213" t="s">
        <v>139</v>
      </c>
      <c r="G32" s="213" t="s">
        <v>140</v>
      </c>
      <c r="H32" s="213" t="s">
        <v>141</v>
      </c>
      <c r="I32" s="231"/>
      <c r="J32" s="225"/>
      <c r="K32" s="269"/>
      <c r="L32" s="154"/>
      <c r="M32" s="289" t="s">
        <v>169</v>
      </c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1"/>
    </row>
    <row r="33" spans="1:25" s="19" customFormat="1" ht="22.05" customHeight="1" x14ac:dyDescent="0.3">
      <c r="A33" s="17"/>
      <c r="B33" s="268" t="s">
        <v>73</v>
      </c>
      <c r="C33" s="268"/>
      <c r="D33" s="268"/>
      <c r="E33" s="268"/>
      <c r="F33" s="268"/>
      <c r="G33" s="268"/>
      <c r="H33" s="268"/>
      <c r="I33" s="268"/>
      <c r="J33" s="268"/>
      <c r="K33" s="268"/>
      <c r="L33" s="155"/>
      <c r="M33" s="111" t="s">
        <v>143</v>
      </c>
      <c r="N33" s="111" t="s">
        <v>144</v>
      </c>
      <c r="O33" s="111" t="s">
        <v>145</v>
      </c>
      <c r="P33" s="111" t="s">
        <v>147</v>
      </c>
      <c r="Q33" s="111" t="s">
        <v>146</v>
      </c>
      <c r="R33" s="111" t="s">
        <v>148</v>
      </c>
      <c r="S33" s="111" t="s">
        <v>149</v>
      </c>
      <c r="T33" s="111" t="s">
        <v>150</v>
      </c>
      <c r="U33" s="111" t="s">
        <v>151</v>
      </c>
      <c r="V33" s="111" t="s">
        <v>152</v>
      </c>
      <c r="W33" s="111" t="s">
        <v>153</v>
      </c>
      <c r="X33" s="111" t="s">
        <v>154</v>
      </c>
      <c r="Y33" s="111" t="s">
        <v>155</v>
      </c>
    </row>
    <row r="34" spans="1:25" s="19" customFormat="1" ht="22.05" customHeight="1" x14ac:dyDescent="0.3">
      <c r="A34" s="17"/>
      <c r="B34" s="230" t="s">
        <v>4</v>
      </c>
      <c r="C34" s="224" t="s">
        <v>223</v>
      </c>
      <c r="D34" s="275"/>
      <c r="E34" s="48">
        <v>200</v>
      </c>
      <c r="F34" s="49">
        <v>8.4</v>
      </c>
      <c r="G34" s="49">
        <v>12.1</v>
      </c>
      <c r="H34" s="49">
        <v>39.5</v>
      </c>
      <c r="I34" s="49">
        <v>300</v>
      </c>
      <c r="J34" s="50" t="s">
        <v>224</v>
      </c>
      <c r="K34" s="156">
        <v>18.45</v>
      </c>
      <c r="L34" s="150"/>
      <c r="M34" s="82">
        <v>0.2</v>
      </c>
      <c r="N34" s="82">
        <v>0.15</v>
      </c>
      <c r="O34" s="82">
        <v>73.3</v>
      </c>
      <c r="P34" s="82">
        <v>0.8</v>
      </c>
      <c r="Q34" s="82">
        <v>0</v>
      </c>
      <c r="R34" s="82">
        <v>434.3</v>
      </c>
      <c r="S34" s="82">
        <v>443.8</v>
      </c>
      <c r="T34" s="82">
        <v>146.69999999999999</v>
      </c>
      <c r="U34" s="82">
        <v>68.599999999999994</v>
      </c>
      <c r="V34" s="82">
        <v>239</v>
      </c>
      <c r="W34" s="82">
        <v>1.9</v>
      </c>
      <c r="X34" s="82">
        <v>46.7</v>
      </c>
      <c r="Y34" s="82">
        <v>14.3</v>
      </c>
    </row>
    <row r="35" spans="1:25" s="19" customFormat="1" ht="22.05" customHeight="1" x14ac:dyDescent="0.3">
      <c r="A35" s="17"/>
      <c r="B35" s="230"/>
      <c r="C35" s="224" t="s">
        <v>111</v>
      </c>
      <c r="D35" s="224"/>
      <c r="E35" s="48">
        <v>40</v>
      </c>
      <c r="F35" s="49">
        <f>F16/100*40</f>
        <v>1.3919999999999999</v>
      </c>
      <c r="G35" s="49">
        <f>G16/100*40</f>
        <v>0.25600000000000001</v>
      </c>
      <c r="H35" s="49">
        <f>H16/100*40</f>
        <v>8.56</v>
      </c>
      <c r="I35" s="49">
        <f>I16/100*40</f>
        <v>53.688000000000002</v>
      </c>
      <c r="J35" s="48" t="s">
        <v>60</v>
      </c>
      <c r="K35" s="156">
        <v>3.27</v>
      </c>
      <c r="L35" s="150"/>
      <c r="M35" s="82">
        <f>M16/30*40</f>
        <v>0.16400000000000001</v>
      </c>
      <c r="N35" s="82">
        <f t="shared" ref="N35:Y35" si="3">N16/30*40</f>
        <v>0.10133333333333333</v>
      </c>
      <c r="O35" s="82">
        <f t="shared" si="3"/>
        <v>0</v>
      </c>
      <c r="P35" s="82">
        <f t="shared" si="3"/>
        <v>2.2400000000000002</v>
      </c>
      <c r="Q35" s="82">
        <f t="shared" si="3"/>
        <v>0.08</v>
      </c>
      <c r="R35" s="82">
        <f t="shared" si="3"/>
        <v>189.20000000000002</v>
      </c>
      <c r="S35" s="82">
        <f t="shared" si="3"/>
        <v>50</v>
      </c>
      <c r="T35" s="82">
        <f t="shared" si="3"/>
        <v>1.96</v>
      </c>
      <c r="U35" s="82">
        <f t="shared" si="3"/>
        <v>16.400000000000002</v>
      </c>
      <c r="V35" s="82">
        <f t="shared" si="3"/>
        <v>51.6</v>
      </c>
      <c r="W35" s="82">
        <f t="shared" si="3"/>
        <v>1.4400000000000002</v>
      </c>
      <c r="X35" s="82">
        <f t="shared" si="3"/>
        <v>0</v>
      </c>
      <c r="Y35" s="82">
        <f t="shared" si="3"/>
        <v>11.520000000000001</v>
      </c>
    </row>
    <row r="36" spans="1:25" s="19" customFormat="1" ht="22.05" customHeight="1" x14ac:dyDescent="0.3">
      <c r="A36" s="17"/>
      <c r="B36" s="230"/>
      <c r="C36" s="224" t="s">
        <v>8</v>
      </c>
      <c r="D36" s="224"/>
      <c r="E36" s="48">
        <v>200</v>
      </c>
      <c r="F36" s="49">
        <v>3.8</v>
      </c>
      <c r="G36" s="49">
        <v>3.5</v>
      </c>
      <c r="H36" s="49">
        <v>11.1</v>
      </c>
      <c r="I36" s="49">
        <v>90.8</v>
      </c>
      <c r="J36" s="50" t="s">
        <v>7</v>
      </c>
      <c r="K36" s="156">
        <v>12.47</v>
      </c>
      <c r="L36" s="150"/>
      <c r="M36" s="82">
        <v>0.02</v>
      </c>
      <c r="N36" s="82">
        <v>0.11</v>
      </c>
      <c r="O36" s="82">
        <v>12</v>
      </c>
      <c r="P36" s="82">
        <v>0.2</v>
      </c>
      <c r="Q36" s="82">
        <v>0</v>
      </c>
      <c r="R36" s="82">
        <v>51</v>
      </c>
      <c r="S36" s="82">
        <v>221</v>
      </c>
      <c r="T36" s="82">
        <v>112</v>
      </c>
      <c r="U36" s="82">
        <v>30</v>
      </c>
      <c r="V36" s="82">
        <v>107</v>
      </c>
      <c r="W36" s="82">
        <v>1</v>
      </c>
      <c r="X36" s="82">
        <v>9</v>
      </c>
      <c r="Y36" s="82">
        <v>1.8</v>
      </c>
    </row>
    <row r="37" spans="1:25" s="19" customFormat="1" ht="22.05" customHeight="1" x14ac:dyDescent="0.3">
      <c r="A37" s="17"/>
      <c r="B37" s="230"/>
      <c r="C37" s="224" t="s">
        <v>88</v>
      </c>
      <c r="D37" s="278"/>
      <c r="E37" s="48">
        <v>75</v>
      </c>
      <c r="F37" s="49">
        <v>4.7</v>
      </c>
      <c r="G37" s="49">
        <v>0.7</v>
      </c>
      <c r="H37" s="49">
        <v>40.5</v>
      </c>
      <c r="I37" s="49">
        <v>188.3</v>
      </c>
      <c r="J37" s="50" t="s">
        <v>60</v>
      </c>
      <c r="K37" s="156">
        <v>30</v>
      </c>
      <c r="L37" s="150"/>
      <c r="M37" s="82">
        <v>0.14000000000000001</v>
      </c>
      <c r="N37" s="82">
        <v>7.0000000000000007E-2</v>
      </c>
      <c r="O37" s="82">
        <v>1.95</v>
      </c>
      <c r="P37" s="82">
        <v>1.75</v>
      </c>
      <c r="Q37" s="82">
        <v>1.67</v>
      </c>
      <c r="R37" s="82">
        <v>818.63</v>
      </c>
      <c r="S37" s="82">
        <v>172.73</v>
      </c>
      <c r="T37" s="82">
        <v>22.52</v>
      </c>
      <c r="U37" s="82">
        <v>11.79</v>
      </c>
      <c r="V37" s="82">
        <v>54.15</v>
      </c>
      <c r="W37" s="82">
        <v>1.49</v>
      </c>
      <c r="X37" s="82">
        <v>0.93</v>
      </c>
      <c r="Y37" s="82">
        <v>2.4900000000000002</v>
      </c>
    </row>
    <row r="38" spans="1:25" s="19" customFormat="1" ht="22.05" customHeight="1" x14ac:dyDescent="0.3">
      <c r="A38" s="17"/>
      <c r="B38" s="44"/>
      <c r="C38" s="228" t="s">
        <v>213</v>
      </c>
      <c r="D38" s="276"/>
      <c r="E38" s="44">
        <f>SUM(E34:E37)</f>
        <v>515</v>
      </c>
      <c r="F38" s="55">
        <f>SUM(F34:F37)</f>
        <v>18.291999999999998</v>
      </c>
      <c r="G38" s="55">
        <f>SUM(G34:G37)</f>
        <v>16.556000000000001</v>
      </c>
      <c r="H38" s="55">
        <f>SUM(H34:H37)</f>
        <v>99.66</v>
      </c>
      <c r="I38" s="55">
        <f>SUM(I34:I37)</f>
        <v>632.78800000000001</v>
      </c>
      <c r="J38" s="44"/>
      <c r="K38" s="157">
        <f>SUM(K34:K37)</f>
        <v>64.19</v>
      </c>
      <c r="L38" s="150"/>
      <c r="M38" s="102">
        <f t="shared" ref="M38:Y38" si="4">SUM(M34:M37)</f>
        <v>0.52400000000000002</v>
      </c>
      <c r="N38" s="102">
        <f t="shared" si="4"/>
        <v>0.43133333333333329</v>
      </c>
      <c r="O38" s="102">
        <f t="shared" si="4"/>
        <v>87.25</v>
      </c>
      <c r="P38" s="102">
        <f t="shared" si="4"/>
        <v>4.99</v>
      </c>
      <c r="Q38" s="102">
        <f t="shared" si="4"/>
        <v>1.75</v>
      </c>
      <c r="R38" s="102">
        <f t="shared" si="4"/>
        <v>1493.13</v>
      </c>
      <c r="S38" s="102">
        <f t="shared" si="4"/>
        <v>887.53</v>
      </c>
      <c r="T38" s="102">
        <f t="shared" si="4"/>
        <v>283.17999999999995</v>
      </c>
      <c r="U38" s="102">
        <f t="shared" si="4"/>
        <v>126.78999999999999</v>
      </c>
      <c r="V38" s="102">
        <f t="shared" si="4"/>
        <v>451.75</v>
      </c>
      <c r="W38" s="102">
        <f t="shared" si="4"/>
        <v>5.83</v>
      </c>
      <c r="X38" s="102">
        <f t="shared" si="4"/>
        <v>56.63</v>
      </c>
      <c r="Y38" s="102">
        <f t="shared" si="4"/>
        <v>30.11</v>
      </c>
    </row>
    <row r="39" spans="1:25" s="184" customFormat="1" ht="22.05" customHeight="1" x14ac:dyDescent="0.3">
      <c r="A39" s="17"/>
      <c r="B39" s="194"/>
      <c r="C39" s="39"/>
      <c r="D39" s="70"/>
      <c r="E39" s="194"/>
      <c r="F39" s="91"/>
      <c r="G39" s="91"/>
      <c r="H39" s="91"/>
      <c r="I39" s="91"/>
      <c r="J39" s="194"/>
      <c r="K39" s="160"/>
      <c r="L39" s="18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</row>
    <row r="40" spans="1:25" ht="22.05" customHeight="1" x14ac:dyDescent="0.3">
      <c r="A40" s="12"/>
      <c r="B40" s="35"/>
      <c r="C40" s="247"/>
      <c r="D40" s="247"/>
      <c r="E40" s="36"/>
      <c r="F40" s="36"/>
      <c r="G40" s="36"/>
      <c r="H40" s="36"/>
      <c r="I40" s="36"/>
      <c r="J40" s="15"/>
      <c r="K40" s="5"/>
      <c r="L40" s="5"/>
    </row>
    <row r="41" spans="1:25" s="19" customFormat="1" ht="22.05" customHeight="1" x14ac:dyDescent="0.3">
      <c r="A41" s="17"/>
      <c r="B41" s="225" t="s">
        <v>57</v>
      </c>
      <c r="C41" s="225"/>
      <c r="D41" s="225"/>
      <c r="E41" s="225"/>
      <c r="F41" s="225"/>
      <c r="G41" s="225"/>
      <c r="H41" s="225"/>
      <c r="I41" s="225"/>
      <c r="J41" s="225"/>
      <c r="K41" s="225"/>
      <c r="L41" s="18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</row>
    <row r="42" spans="1:25" s="19" customFormat="1" ht="22.05" customHeight="1" x14ac:dyDescent="0.3">
      <c r="A42" s="17"/>
      <c r="B42" s="225" t="s">
        <v>70</v>
      </c>
      <c r="C42" s="225" t="s">
        <v>1</v>
      </c>
      <c r="D42" s="225"/>
      <c r="E42" s="225" t="s">
        <v>2</v>
      </c>
      <c r="F42" s="225" t="s">
        <v>3</v>
      </c>
      <c r="G42" s="225"/>
      <c r="H42" s="225"/>
      <c r="I42" s="231" t="s">
        <v>142</v>
      </c>
      <c r="J42" s="225" t="s">
        <v>72</v>
      </c>
      <c r="K42" s="269" t="s">
        <v>180</v>
      </c>
      <c r="L42" s="153"/>
      <c r="M42" s="286" t="s">
        <v>156</v>
      </c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8"/>
    </row>
    <row r="43" spans="1:25" s="19" customFormat="1" ht="42.6" customHeight="1" x14ac:dyDescent="0.3">
      <c r="A43" s="17"/>
      <c r="B43" s="225"/>
      <c r="C43" s="225"/>
      <c r="D43" s="225"/>
      <c r="E43" s="225"/>
      <c r="F43" s="213" t="s">
        <v>139</v>
      </c>
      <c r="G43" s="213" t="s">
        <v>140</v>
      </c>
      <c r="H43" s="213" t="s">
        <v>141</v>
      </c>
      <c r="I43" s="231"/>
      <c r="J43" s="225"/>
      <c r="K43" s="269"/>
      <c r="L43" s="154"/>
      <c r="M43" s="289" t="s">
        <v>170</v>
      </c>
      <c r="N43" s="290"/>
      <c r="O43" s="290"/>
      <c r="P43" s="290"/>
      <c r="Q43" s="290"/>
      <c r="R43" s="290"/>
      <c r="S43" s="290"/>
      <c r="T43" s="290"/>
      <c r="U43" s="290"/>
      <c r="V43" s="290"/>
      <c r="W43" s="290"/>
      <c r="X43" s="290"/>
      <c r="Y43" s="291"/>
    </row>
    <row r="44" spans="1:25" s="19" customFormat="1" ht="22.05" customHeight="1" x14ac:dyDescent="0.3">
      <c r="A44" s="17"/>
      <c r="B44" s="268" t="s">
        <v>86</v>
      </c>
      <c r="C44" s="268"/>
      <c r="D44" s="268"/>
      <c r="E44" s="268"/>
      <c r="F44" s="268"/>
      <c r="G44" s="268"/>
      <c r="H44" s="268"/>
      <c r="I44" s="268"/>
      <c r="J44" s="268"/>
      <c r="K44" s="268"/>
      <c r="L44" s="155"/>
      <c r="M44" s="111" t="s">
        <v>143</v>
      </c>
      <c r="N44" s="111" t="s">
        <v>144</v>
      </c>
      <c r="O44" s="111" t="s">
        <v>145</v>
      </c>
      <c r="P44" s="111" t="s">
        <v>147</v>
      </c>
      <c r="Q44" s="111" t="s">
        <v>146</v>
      </c>
      <c r="R44" s="111" t="s">
        <v>148</v>
      </c>
      <c r="S44" s="111" t="s">
        <v>149</v>
      </c>
      <c r="T44" s="111" t="s">
        <v>150</v>
      </c>
      <c r="U44" s="111" t="s">
        <v>151</v>
      </c>
      <c r="V44" s="111" t="s">
        <v>152</v>
      </c>
      <c r="W44" s="111" t="s">
        <v>153</v>
      </c>
      <c r="X44" s="111" t="s">
        <v>154</v>
      </c>
      <c r="Y44" s="111" t="s">
        <v>155</v>
      </c>
    </row>
    <row r="45" spans="1:25" s="19" customFormat="1" ht="22.05" customHeight="1" x14ac:dyDescent="0.3">
      <c r="A45" s="17"/>
      <c r="B45" s="230" t="s">
        <v>4</v>
      </c>
      <c r="C45" s="224" t="s">
        <v>48</v>
      </c>
      <c r="D45" s="275"/>
      <c r="E45" s="48">
        <v>200</v>
      </c>
      <c r="F45" s="49">
        <v>7.1</v>
      </c>
      <c r="G45" s="49">
        <v>10.7</v>
      </c>
      <c r="H45" s="49">
        <v>46</v>
      </c>
      <c r="I45" s="49">
        <v>308.60000000000002</v>
      </c>
      <c r="J45" s="50" t="s">
        <v>47</v>
      </c>
      <c r="K45" s="156">
        <v>20.12</v>
      </c>
      <c r="L45" s="150"/>
      <c r="M45" s="82">
        <v>0.01</v>
      </c>
      <c r="N45" s="82">
        <v>0.13</v>
      </c>
      <c r="O45" s="82">
        <v>42</v>
      </c>
      <c r="P45" s="82">
        <v>0.6</v>
      </c>
      <c r="Q45" s="82">
        <v>0</v>
      </c>
      <c r="R45" s="82">
        <v>462</v>
      </c>
      <c r="S45" s="82">
        <v>232</v>
      </c>
      <c r="T45" s="82">
        <v>122</v>
      </c>
      <c r="U45" s="82">
        <v>31</v>
      </c>
      <c r="V45" s="82">
        <v>135</v>
      </c>
      <c r="W45" s="82">
        <v>1</v>
      </c>
      <c r="X45" s="82">
        <v>49</v>
      </c>
      <c r="Y45" s="82">
        <v>10</v>
      </c>
    </row>
    <row r="46" spans="1:25" s="19" customFormat="1" ht="22.05" customHeight="1" x14ac:dyDescent="0.3">
      <c r="A46" s="17"/>
      <c r="B46" s="230"/>
      <c r="C46" s="224" t="s">
        <v>16</v>
      </c>
      <c r="D46" s="224"/>
      <c r="E46" s="48">
        <v>15</v>
      </c>
      <c r="F46" s="49">
        <v>3.51</v>
      </c>
      <c r="G46" s="49">
        <v>4.5</v>
      </c>
      <c r="H46" s="49">
        <v>0</v>
      </c>
      <c r="I46" s="49">
        <v>54.5</v>
      </c>
      <c r="J46" s="50" t="s">
        <v>15</v>
      </c>
      <c r="K46" s="156">
        <v>10.97</v>
      </c>
      <c r="L46" s="150"/>
      <c r="M46" s="82">
        <v>0.01</v>
      </c>
      <c r="N46" s="82">
        <v>0.04</v>
      </c>
      <c r="O46" s="82">
        <v>39</v>
      </c>
      <c r="P46" s="82">
        <v>0.04</v>
      </c>
      <c r="Q46" s="82">
        <v>0</v>
      </c>
      <c r="R46" s="82">
        <v>150</v>
      </c>
      <c r="S46" s="82">
        <v>17</v>
      </c>
      <c r="T46" s="82">
        <v>150</v>
      </c>
      <c r="U46" s="82">
        <v>7</v>
      </c>
      <c r="V46" s="82">
        <v>82</v>
      </c>
      <c r="W46" s="82">
        <v>0</v>
      </c>
      <c r="X46" s="82">
        <v>0</v>
      </c>
      <c r="Y46" s="82">
        <v>0</v>
      </c>
    </row>
    <row r="47" spans="1:25" s="19" customFormat="1" ht="22.05" customHeight="1" x14ac:dyDescent="0.3">
      <c r="A47" s="17"/>
      <c r="B47" s="230"/>
      <c r="C47" s="224" t="s">
        <v>111</v>
      </c>
      <c r="D47" s="224"/>
      <c r="E47" s="48">
        <v>42</v>
      </c>
      <c r="F47" s="49">
        <f>F16/100*42</f>
        <v>1.4615999999999998</v>
      </c>
      <c r="G47" s="49">
        <f>G16/100*42</f>
        <v>0.26880000000000004</v>
      </c>
      <c r="H47" s="49">
        <f>H16/100*42</f>
        <v>8.9879999999999995</v>
      </c>
      <c r="I47" s="49">
        <f>I16/100*42</f>
        <v>56.372399999999999</v>
      </c>
      <c r="J47" s="48" t="s">
        <v>60</v>
      </c>
      <c r="K47" s="156">
        <v>3.27</v>
      </c>
      <c r="L47" s="150"/>
      <c r="M47" s="82">
        <f t="shared" ref="M47:Y47" si="5">M16/30*42</f>
        <v>0.17220000000000002</v>
      </c>
      <c r="N47" s="82">
        <f t="shared" si="5"/>
        <v>0.10639999999999999</v>
      </c>
      <c r="O47" s="82">
        <f t="shared" si="5"/>
        <v>0</v>
      </c>
      <c r="P47" s="82">
        <f t="shared" si="5"/>
        <v>2.3519999999999999</v>
      </c>
      <c r="Q47" s="82">
        <f t="shared" si="5"/>
        <v>8.4000000000000005E-2</v>
      </c>
      <c r="R47" s="82">
        <f t="shared" si="5"/>
        <v>198.66000000000003</v>
      </c>
      <c r="S47" s="82">
        <f t="shared" si="5"/>
        <v>52.5</v>
      </c>
      <c r="T47" s="82">
        <f t="shared" si="5"/>
        <v>2.0580000000000003</v>
      </c>
      <c r="U47" s="82">
        <f t="shared" si="5"/>
        <v>17.220000000000002</v>
      </c>
      <c r="V47" s="82">
        <f t="shared" si="5"/>
        <v>54.18</v>
      </c>
      <c r="W47" s="82">
        <f t="shared" si="5"/>
        <v>1.5120000000000002</v>
      </c>
      <c r="X47" s="82">
        <f t="shared" si="5"/>
        <v>0</v>
      </c>
      <c r="Y47" s="82">
        <f t="shared" si="5"/>
        <v>12.096000000000002</v>
      </c>
    </row>
    <row r="48" spans="1:25" s="19" customFormat="1" ht="22.05" customHeight="1" x14ac:dyDescent="0.3">
      <c r="A48" s="17"/>
      <c r="B48" s="230"/>
      <c r="C48" s="224" t="s">
        <v>115</v>
      </c>
      <c r="D48" s="224"/>
      <c r="E48" s="48">
        <v>28</v>
      </c>
      <c r="F48" s="49">
        <f>F17/100*28</f>
        <v>0.53200000000000003</v>
      </c>
      <c r="G48" s="49">
        <f>G17/100*28</f>
        <v>0.126</v>
      </c>
      <c r="H48" s="49">
        <f>H17/100*28</f>
        <v>7</v>
      </c>
      <c r="I48" s="49">
        <f>I17/100*28</f>
        <v>34.644400000000005</v>
      </c>
      <c r="J48" s="48" t="s">
        <v>60</v>
      </c>
      <c r="K48" s="156">
        <v>2.73</v>
      </c>
      <c r="L48" s="150"/>
      <c r="M48" s="82">
        <f t="shared" ref="M48:Y48" si="6">M17/30*28</f>
        <v>0.12133333333333332</v>
      </c>
      <c r="N48" s="82">
        <f t="shared" si="6"/>
        <v>9.3333333333333338E-2</v>
      </c>
      <c r="O48" s="82">
        <f t="shared" si="6"/>
        <v>0</v>
      </c>
      <c r="P48" s="82">
        <f t="shared" si="6"/>
        <v>1.0640000000000001</v>
      </c>
      <c r="Q48" s="82">
        <f t="shared" si="6"/>
        <v>0.112</v>
      </c>
      <c r="R48" s="82">
        <f t="shared" si="6"/>
        <v>168.84</v>
      </c>
      <c r="S48" s="82">
        <f t="shared" si="6"/>
        <v>20.439999999999998</v>
      </c>
      <c r="T48" s="82">
        <f t="shared" si="6"/>
        <v>0.33600000000000002</v>
      </c>
      <c r="U48" s="82">
        <f t="shared" si="6"/>
        <v>11.200000000000001</v>
      </c>
      <c r="V48" s="82">
        <f t="shared" si="6"/>
        <v>35</v>
      </c>
      <c r="W48" s="82">
        <f t="shared" si="6"/>
        <v>0.79333333333333333</v>
      </c>
      <c r="X48" s="82">
        <f t="shared" si="6"/>
        <v>0</v>
      </c>
      <c r="Y48" s="82">
        <f t="shared" si="6"/>
        <v>8.6519999999999992</v>
      </c>
    </row>
    <row r="49" spans="1:25" s="19" customFormat="1" ht="22.05" customHeight="1" x14ac:dyDescent="0.3">
      <c r="A49" s="17"/>
      <c r="B49" s="230"/>
      <c r="C49" s="224" t="s">
        <v>23</v>
      </c>
      <c r="D49" s="224"/>
      <c r="E49" s="48">
        <v>200</v>
      </c>
      <c r="F49" s="49">
        <v>0.2</v>
      </c>
      <c r="G49" s="49">
        <v>0</v>
      </c>
      <c r="H49" s="49">
        <v>6.4</v>
      </c>
      <c r="I49" s="49">
        <v>26.4</v>
      </c>
      <c r="J49" s="50" t="s">
        <v>22</v>
      </c>
      <c r="K49" s="156">
        <v>1.22</v>
      </c>
      <c r="L49" s="150"/>
      <c r="M49" s="82">
        <v>0</v>
      </c>
      <c r="N49" s="82">
        <v>0</v>
      </c>
      <c r="O49" s="82">
        <v>0</v>
      </c>
      <c r="P49" s="82">
        <v>0.1</v>
      </c>
      <c r="Q49" s="82">
        <v>0</v>
      </c>
      <c r="R49" s="82">
        <v>1</v>
      </c>
      <c r="S49" s="82">
        <v>25</v>
      </c>
      <c r="T49" s="82">
        <v>4</v>
      </c>
      <c r="U49" s="82">
        <v>4</v>
      </c>
      <c r="V49" s="82">
        <v>7</v>
      </c>
      <c r="W49" s="82">
        <v>1</v>
      </c>
      <c r="X49" s="82">
        <v>0</v>
      </c>
      <c r="Y49" s="82">
        <v>0</v>
      </c>
    </row>
    <row r="50" spans="1:25" s="19" customFormat="1" ht="22.05" customHeight="1" x14ac:dyDescent="0.3">
      <c r="A50" s="17"/>
      <c r="B50" s="230"/>
      <c r="C50" s="224" t="s">
        <v>191</v>
      </c>
      <c r="D50" s="224"/>
      <c r="E50" s="48">
        <v>15</v>
      </c>
      <c r="F50" s="49">
        <v>1.05</v>
      </c>
      <c r="G50" s="49">
        <v>5.0999999999999996</v>
      </c>
      <c r="H50" s="49">
        <v>7.95</v>
      </c>
      <c r="I50" s="49">
        <v>82.5</v>
      </c>
      <c r="J50" s="48" t="s">
        <v>60</v>
      </c>
      <c r="K50" s="156">
        <v>18</v>
      </c>
      <c r="L50" s="150"/>
      <c r="M50" s="82">
        <v>0.01</v>
      </c>
      <c r="N50" s="82">
        <v>7.0000000000000007E-2</v>
      </c>
      <c r="O50" s="82">
        <v>3.3</v>
      </c>
      <c r="P50" s="82">
        <v>0.39</v>
      </c>
      <c r="Q50" s="82">
        <v>0</v>
      </c>
      <c r="R50" s="82">
        <v>20.399999999999999</v>
      </c>
      <c r="S50" s="82">
        <v>69.3</v>
      </c>
      <c r="T50" s="82">
        <v>52.8</v>
      </c>
      <c r="U50" s="82">
        <v>10.199999999999999</v>
      </c>
      <c r="V50" s="82">
        <v>46.35</v>
      </c>
      <c r="W50" s="82">
        <v>0.23</v>
      </c>
      <c r="X50" s="82">
        <v>0</v>
      </c>
      <c r="Y50" s="82">
        <v>0</v>
      </c>
    </row>
    <row r="51" spans="1:25" s="19" customFormat="1" ht="22.05" customHeight="1" x14ac:dyDescent="0.3">
      <c r="A51" s="17"/>
      <c r="B51" s="65"/>
      <c r="C51" s="272" t="s">
        <v>213</v>
      </c>
      <c r="D51" s="273"/>
      <c r="E51" s="66">
        <f>SUM(E45:E50)</f>
        <v>500</v>
      </c>
      <c r="F51" s="68">
        <f>SUM(F45:F50)</f>
        <v>13.8536</v>
      </c>
      <c r="G51" s="68">
        <f>SUM(G45:G50)</f>
        <v>20.694800000000001</v>
      </c>
      <c r="H51" s="68">
        <f>SUM(H45:H50)</f>
        <v>76.338000000000008</v>
      </c>
      <c r="I51" s="68">
        <f>SUM(I45:I50)</f>
        <v>563.01679999999999</v>
      </c>
      <c r="J51" s="67"/>
      <c r="K51" s="157">
        <f>SUM(K45:K50)</f>
        <v>56.31</v>
      </c>
      <c r="L51" s="150"/>
      <c r="M51" s="102">
        <f t="shared" ref="M51:Y51" si="7">SUM(M45:M50)</f>
        <v>0.32353333333333334</v>
      </c>
      <c r="N51" s="102">
        <f t="shared" si="7"/>
        <v>0.43973333333333331</v>
      </c>
      <c r="O51" s="102">
        <f t="shared" si="7"/>
        <v>84.3</v>
      </c>
      <c r="P51" s="102">
        <f t="shared" si="7"/>
        <v>4.5459999999999994</v>
      </c>
      <c r="Q51" s="102">
        <f t="shared" si="7"/>
        <v>0.19600000000000001</v>
      </c>
      <c r="R51" s="102">
        <f t="shared" si="7"/>
        <v>1000.9000000000001</v>
      </c>
      <c r="S51" s="102">
        <f t="shared" si="7"/>
        <v>416.24</v>
      </c>
      <c r="T51" s="102">
        <f t="shared" si="7"/>
        <v>331.19400000000002</v>
      </c>
      <c r="U51" s="102">
        <f t="shared" si="7"/>
        <v>80.62</v>
      </c>
      <c r="V51" s="102">
        <f t="shared" si="7"/>
        <v>359.53000000000003</v>
      </c>
      <c r="W51" s="102">
        <f t="shared" si="7"/>
        <v>4.5353333333333339</v>
      </c>
      <c r="X51" s="102">
        <f t="shared" si="7"/>
        <v>49</v>
      </c>
      <c r="Y51" s="102">
        <f t="shared" si="7"/>
        <v>30.748000000000005</v>
      </c>
    </row>
    <row r="52" spans="1:25" ht="22.05" customHeight="1" x14ac:dyDescent="0.3">
      <c r="A52" s="12"/>
      <c r="B52" s="35"/>
      <c r="C52" s="60"/>
      <c r="D52" s="60"/>
      <c r="E52" s="14"/>
      <c r="F52" s="36"/>
      <c r="G52" s="36"/>
      <c r="H52" s="36"/>
      <c r="I52" s="36"/>
      <c r="J52" s="14"/>
      <c r="K52" s="5"/>
      <c r="L52" s="5"/>
    </row>
    <row r="53" spans="1:25" ht="22.05" customHeight="1" x14ac:dyDescent="0.3">
      <c r="A53" s="12"/>
      <c r="B53" s="35"/>
      <c r="C53" s="60"/>
      <c r="D53" s="60"/>
      <c r="E53" s="14"/>
      <c r="F53" s="36"/>
      <c r="G53" s="36"/>
      <c r="H53" s="36"/>
      <c r="I53" s="36"/>
      <c r="J53" s="14"/>
      <c r="K53" s="5"/>
      <c r="L53" s="5"/>
    </row>
    <row r="54" spans="1:25" s="19" customFormat="1" ht="22.05" customHeight="1" x14ac:dyDescent="0.3">
      <c r="A54" s="17"/>
      <c r="B54" s="225" t="s">
        <v>57</v>
      </c>
      <c r="C54" s="225"/>
      <c r="D54" s="225"/>
      <c r="E54" s="225"/>
      <c r="F54" s="225"/>
      <c r="G54" s="225"/>
      <c r="H54" s="225"/>
      <c r="I54" s="225"/>
      <c r="J54" s="225"/>
      <c r="K54" s="225"/>
      <c r="L54" s="18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</row>
    <row r="55" spans="1:25" s="19" customFormat="1" ht="22.05" customHeight="1" x14ac:dyDescent="0.3">
      <c r="A55" s="17"/>
      <c r="B55" s="225" t="s">
        <v>70</v>
      </c>
      <c r="C55" s="225" t="s">
        <v>1</v>
      </c>
      <c r="D55" s="225"/>
      <c r="E55" s="225" t="s">
        <v>2</v>
      </c>
      <c r="F55" s="225" t="s">
        <v>3</v>
      </c>
      <c r="G55" s="225"/>
      <c r="H55" s="225"/>
      <c r="I55" s="231" t="s">
        <v>142</v>
      </c>
      <c r="J55" s="225" t="s">
        <v>72</v>
      </c>
      <c r="K55" s="269" t="s">
        <v>180</v>
      </c>
      <c r="L55" s="153"/>
      <c r="M55" s="286" t="s">
        <v>156</v>
      </c>
      <c r="N55" s="287"/>
      <c r="O55" s="287"/>
      <c r="P55" s="287"/>
      <c r="Q55" s="287"/>
      <c r="R55" s="287"/>
      <c r="S55" s="287"/>
      <c r="T55" s="287"/>
      <c r="U55" s="287"/>
      <c r="V55" s="287"/>
      <c r="W55" s="287"/>
      <c r="X55" s="287"/>
      <c r="Y55" s="288"/>
    </row>
    <row r="56" spans="1:25" s="19" customFormat="1" ht="43.2" customHeight="1" x14ac:dyDescent="0.3">
      <c r="A56" s="17"/>
      <c r="B56" s="225"/>
      <c r="C56" s="225"/>
      <c r="D56" s="225"/>
      <c r="E56" s="225"/>
      <c r="F56" s="213" t="s">
        <v>139</v>
      </c>
      <c r="G56" s="213" t="s">
        <v>140</v>
      </c>
      <c r="H56" s="213" t="s">
        <v>141</v>
      </c>
      <c r="I56" s="231"/>
      <c r="J56" s="225"/>
      <c r="K56" s="269"/>
      <c r="L56" s="154"/>
      <c r="M56" s="289" t="s">
        <v>171</v>
      </c>
      <c r="N56" s="290"/>
      <c r="O56" s="290"/>
      <c r="P56" s="290"/>
      <c r="Q56" s="290"/>
      <c r="R56" s="290"/>
      <c r="S56" s="290"/>
      <c r="T56" s="290"/>
      <c r="U56" s="290"/>
      <c r="V56" s="290"/>
      <c r="W56" s="290"/>
      <c r="X56" s="290"/>
      <c r="Y56" s="291"/>
    </row>
    <row r="57" spans="1:25" s="19" customFormat="1" ht="22.05" customHeight="1" x14ac:dyDescent="0.3">
      <c r="A57" s="17"/>
      <c r="B57" s="268" t="s">
        <v>74</v>
      </c>
      <c r="C57" s="268"/>
      <c r="D57" s="268"/>
      <c r="E57" s="268"/>
      <c r="F57" s="268"/>
      <c r="G57" s="268"/>
      <c r="H57" s="268"/>
      <c r="I57" s="268"/>
      <c r="J57" s="268"/>
      <c r="K57" s="268"/>
      <c r="L57" s="155"/>
      <c r="M57" s="111" t="s">
        <v>143</v>
      </c>
      <c r="N57" s="111" t="s">
        <v>144</v>
      </c>
      <c r="O57" s="111" t="s">
        <v>145</v>
      </c>
      <c r="P57" s="111" t="s">
        <v>147</v>
      </c>
      <c r="Q57" s="111" t="s">
        <v>146</v>
      </c>
      <c r="R57" s="111" t="s">
        <v>148</v>
      </c>
      <c r="S57" s="111" t="s">
        <v>149</v>
      </c>
      <c r="T57" s="111" t="s">
        <v>150</v>
      </c>
      <c r="U57" s="111" t="s">
        <v>151</v>
      </c>
      <c r="V57" s="111" t="s">
        <v>152</v>
      </c>
      <c r="W57" s="111" t="s">
        <v>153</v>
      </c>
      <c r="X57" s="111" t="s">
        <v>154</v>
      </c>
      <c r="Y57" s="111" t="s">
        <v>155</v>
      </c>
    </row>
    <row r="58" spans="1:25" s="19" customFormat="1" ht="22.05" customHeight="1" x14ac:dyDescent="0.3">
      <c r="A58" s="17"/>
      <c r="B58" s="230" t="s">
        <v>4</v>
      </c>
      <c r="C58" s="224" t="s">
        <v>67</v>
      </c>
      <c r="D58" s="275"/>
      <c r="E58" s="48">
        <v>180</v>
      </c>
      <c r="F58" s="49">
        <v>15.1</v>
      </c>
      <c r="G58" s="49">
        <v>23.2</v>
      </c>
      <c r="H58" s="49">
        <v>3.8</v>
      </c>
      <c r="I58" s="49">
        <v>284.5</v>
      </c>
      <c r="J58" s="50" t="s">
        <v>66</v>
      </c>
      <c r="K58" s="156">
        <v>46.74</v>
      </c>
      <c r="L58" s="150"/>
      <c r="M58" s="82">
        <v>7.0000000000000007E-2</v>
      </c>
      <c r="N58" s="82">
        <v>0.5</v>
      </c>
      <c r="O58" s="82">
        <v>216</v>
      </c>
      <c r="P58" s="82">
        <v>0.3</v>
      </c>
      <c r="Q58" s="82">
        <v>0</v>
      </c>
      <c r="R58" s="82">
        <v>401</v>
      </c>
      <c r="S58" s="82">
        <v>259</v>
      </c>
      <c r="T58" s="82">
        <v>133</v>
      </c>
      <c r="U58" s="82">
        <v>21</v>
      </c>
      <c r="V58" s="82">
        <v>243</v>
      </c>
      <c r="W58" s="82">
        <v>2.7</v>
      </c>
      <c r="X58" s="82">
        <v>50.4</v>
      </c>
      <c r="Y58" s="82">
        <v>31.3</v>
      </c>
    </row>
    <row r="59" spans="1:25" s="19" customFormat="1" ht="22.05" customHeight="1" x14ac:dyDescent="0.3">
      <c r="A59" s="17"/>
      <c r="B59" s="230"/>
      <c r="C59" s="224" t="s">
        <v>16</v>
      </c>
      <c r="D59" s="224"/>
      <c r="E59" s="48">
        <v>15</v>
      </c>
      <c r="F59" s="49">
        <v>3.51</v>
      </c>
      <c r="G59" s="49">
        <v>4.5</v>
      </c>
      <c r="H59" s="49">
        <v>0</v>
      </c>
      <c r="I59" s="49">
        <v>54.5</v>
      </c>
      <c r="J59" s="50" t="s">
        <v>15</v>
      </c>
      <c r="K59" s="156">
        <v>10.97</v>
      </c>
      <c r="L59" s="150"/>
      <c r="M59" s="82">
        <v>0.01</v>
      </c>
      <c r="N59" s="82">
        <v>0.04</v>
      </c>
      <c r="O59" s="82">
        <v>39</v>
      </c>
      <c r="P59" s="82">
        <v>0.04</v>
      </c>
      <c r="Q59" s="82">
        <v>0</v>
      </c>
      <c r="R59" s="82">
        <v>150</v>
      </c>
      <c r="S59" s="82">
        <v>17</v>
      </c>
      <c r="T59" s="82">
        <v>150</v>
      </c>
      <c r="U59" s="82">
        <v>7</v>
      </c>
      <c r="V59" s="82">
        <v>82</v>
      </c>
      <c r="W59" s="82">
        <v>0</v>
      </c>
      <c r="X59" s="82">
        <v>0</v>
      </c>
      <c r="Y59" s="82">
        <v>0</v>
      </c>
    </row>
    <row r="60" spans="1:25" s="19" customFormat="1" ht="22.05" customHeight="1" x14ac:dyDescent="0.3">
      <c r="A60" s="17"/>
      <c r="B60" s="230"/>
      <c r="C60" s="224" t="s">
        <v>111</v>
      </c>
      <c r="D60" s="224"/>
      <c r="E60" s="48">
        <v>42</v>
      </c>
      <c r="F60" s="49">
        <f>F16/100*42</f>
        <v>1.4615999999999998</v>
      </c>
      <c r="G60" s="49">
        <f>G16/100*42</f>
        <v>0.26880000000000004</v>
      </c>
      <c r="H60" s="49">
        <f>H16/100*42</f>
        <v>8.9879999999999995</v>
      </c>
      <c r="I60" s="49">
        <f>I16/100*42</f>
        <v>56.372399999999999</v>
      </c>
      <c r="J60" s="48" t="s">
        <v>60</v>
      </c>
      <c r="K60" s="156">
        <v>3.82</v>
      </c>
      <c r="L60" s="150"/>
      <c r="M60" s="82">
        <f>M16/30*42</f>
        <v>0.17220000000000002</v>
      </c>
      <c r="N60" s="82">
        <f t="shared" ref="N60:Y60" si="8">N16/30*42</f>
        <v>0.10639999999999999</v>
      </c>
      <c r="O60" s="82">
        <f t="shared" si="8"/>
        <v>0</v>
      </c>
      <c r="P60" s="82">
        <f t="shared" si="8"/>
        <v>2.3519999999999999</v>
      </c>
      <c r="Q60" s="82">
        <f t="shared" si="8"/>
        <v>8.4000000000000005E-2</v>
      </c>
      <c r="R60" s="82">
        <f t="shared" si="8"/>
        <v>198.66000000000003</v>
      </c>
      <c r="S60" s="82">
        <f t="shared" si="8"/>
        <v>52.5</v>
      </c>
      <c r="T60" s="82">
        <f t="shared" si="8"/>
        <v>2.0580000000000003</v>
      </c>
      <c r="U60" s="82">
        <f t="shared" si="8"/>
        <v>17.220000000000002</v>
      </c>
      <c r="V60" s="82">
        <f t="shared" si="8"/>
        <v>54.18</v>
      </c>
      <c r="W60" s="82">
        <f t="shared" si="8"/>
        <v>1.5120000000000002</v>
      </c>
      <c r="X60" s="82">
        <f t="shared" si="8"/>
        <v>0</v>
      </c>
      <c r="Y60" s="82">
        <f t="shared" si="8"/>
        <v>12.096000000000002</v>
      </c>
    </row>
    <row r="61" spans="1:25" s="19" customFormat="1" ht="30" customHeight="1" x14ac:dyDescent="0.3">
      <c r="A61" s="17"/>
      <c r="B61" s="230"/>
      <c r="C61" s="267" t="s">
        <v>18</v>
      </c>
      <c r="D61" s="267"/>
      <c r="E61" s="48">
        <v>200</v>
      </c>
      <c r="F61" s="49">
        <v>0.3</v>
      </c>
      <c r="G61" s="49">
        <v>0</v>
      </c>
      <c r="H61" s="49">
        <v>6.7</v>
      </c>
      <c r="I61" s="49">
        <v>27.6</v>
      </c>
      <c r="J61" s="50" t="s">
        <v>17</v>
      </c>
      <c r="K61" s="206">
        <v>3.22</v>
      </c>
      <c r="L61" s="207"/>
      <c r="M61" s="208">
        <v>0</v>
      </c>
      <c r="N61" s="208">
        <v>0.01</v>
      </c>
      <c r="O61" s="208">
        <v>0</v>
      </c>
      <c r="P61" s="208">
        <v>7.0000000000000007E-2</v>
      </c>
      <c r="Q61" s="208">
        <v>1</v>
      </c>
      <c r="R61" s="208">
        <v>2</v>
      </c>
      <c r="S61" s="208">
        <v>36</v>
      </c>
      <c r="T61" s="208">
        <v>6</v>
      </c>
      <c r="U61" s="208">
        <v>5</v>
      </c>
      <c r="V61" s="208">
        <v>8</v>
      </c>
      <c r="W61" s="208">
        <v>1</v>
      </c>
      <c r="X61" s="208">
        <v>0</v>
      </c>
      <c r="Y61" s="208">
        <v>0</v>
      </c>
    </row>
    <row r="62" spans="1:25" s="19" customFormat="1" ht="22.05" customHeight="1" x14ac:dyDescent="0.3">
      <c r="A62" s="17"/>
      <c r="B62" s="65"/>
      <c r="C62" s="272" t="s">
        <v>213</v>
      </c>
      <c r="D62" s="273"/>
      <c r="E62" s="66">
        <f>SUM(E58:E61)</f>
        <v>437</v>
      </c>
      <c r="F62" s="68">
        <f>SUM(F58:F61)</f>
        <v>20.371600000000001</v>
      </c>
      <c r="G62" s="68">
        <f>SUM(G58:G61)</f>
        <v>27.968799999999998</v>
      </c>
      <c r="H62" s="68">
        <f>SUM(H58:H61)</f>
        <v>19.488</v>
      </c>
      <c r="I62" s="68">
        <f>SUM(I58:I61)</f>
        <v>422.97239999999999</v>
      </c>
      <c r="J62" s="67"/>
      <c r="K62" s="157">
        <f>SUM(K58:K61)</f>
        <v>64.75</v>
      </c>
      <c r="L62" s="150"/>
      <c r="M62" s="102">
        <f t="shared" ref="M62:Y62" si="9">SUM(M58:M61)</f>
        <v>0.25220000000000004</v>
      </c>
      <c r="N62" s="102">
        <f t="shared" si="9"/>
        <v>0.65640000000000009</v>
      </c>
      <c r="O62" s="102">
        <f t="shared" si="9"/>
        <v>255</v>
      </c>
      <c r="P62" s="102">
        <f t="shared" si="9"/>
        <v>2.7619999999999996</v>
      </c>
      <c r="Q62" s="102">
        <f t="shared" si="9"/>
        <v>1.0840000000000001</v>
      </c>
      <c r="R62" s="102">
        <f t="shared" si="9"/>
        <v>751.66000000000008</v>
      </c>
      <c r="S62" s="102">
        <f t="shared" si="9"/>
        <v>364.5</v>
      </c>
      <c r="T62" s="102">
        <f t="shared" si="9"/>
        <v>291.05799999999999</v>
      </c>
      <c r="U62" s="102">
        <f t="shared" si="9"/>
        <v>50.22</v>
      </c>
      <c r="V62" s="102">
        <f t="shared" si="9"/>
        <v>387.18</v>
      </c>
      <c r="W62" s="102">
        <f t="shared" si="9"/>
        <v>5.2120000000000006</v>
      </c>
      <c r="X62" s="102">
        <f t="shared" si="9"/>
        <v>50.4</v>
      </c>
      <c r="Y62" s="102">
        <f t="shared" si="9"/>
        <v>43.396000000000001</v>
      </c>
    </row>
    <row r="63" spans="1:25" s="19" customFormat="1" ht="22.05" customHeight="1" x14ac:dyDescent="0.3">
      <c r="A63" s="17"/>
      <c r="B63" s="95"/>
      <c r="C63" s="96"/>
      <c r="D63" s="97"/>
      <c r="E63" s="98"/>
      <c r="F63" s="99"/>
      <c r="G63" s="99"/>
      <c r="H63" s="99"/>
      <c r="I63" s="99"/>
      <c r="J63" s="100"/>
      <c r="K63" s="18"/>
      <c r="L63" s="18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</row>
    <row r="64" spans="1:25" s="1" customFormat="1" ht="22.05" customHeight="1" x14ac:dyDescent="0.3">
      <c r="A64" s="12"/>
      <c r="B64" s="35"/>
      <c r="C64" s="60"/>
      <c r="D64" s="60"/>
      <c r="E64" s="14"/>
      <c r="F64" s="36"/>
      <c r="G64" s="36"/>
      <c r="H64" s="36"/>
      <c r="I64" s="36"/>
      <c r="J64" s="14"/>
      <c r="K64" s="5"/>
      <c r="L64" s="5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</row>
    <row r="65" spans="1:25" s="19" customFormat="1" ht="22.05" customHeight="1" x14ac:dyDescent="0.3">
      <c r="A65" s="17"/>
      <c r="B65" s="225" t="s">
        <v>58</v>
      </c>
      <c r="C65" s="225"/>
      <c r="D65" s="225"/>
      <c r="E65" s="225"/>
      <c r="F65" s="225"/>
      <c r="G65" s="225"/>
      <c r="H65" s="225"/>
      <c r="I65" s="225"/>
      <c r="J65" s="225"/>
      <c r="K65" s="225"/>
      <c r="L65" s="18"/>
      <c r="M65" s="285"/>
      <c r="N65" s="285"/>
      <c r="O65" s="285"/>
      <c r="P65" s="285"/>
      <c r="Q65" s="285"/>
      <c r="R65" s="285"/>
      <c r="S65" s="285"/>
      <c r="T65" s="285"/>
      <c r="U65" s="285"/>
      <c r="V65" s="285"/>
      <c r="W65" s="285"/>
      <c r="X65" s="285"/>
      <c r="Y65" s="285"/>
    </row>
    <row r="66" spans="1:25" s="19" customFormat="1" ht="22.05" customHeight="1" x14ac:dyDescent="0.3">
      <c r="A66" s="17"/>
      <c r="B66" s="225" t="s">
        <v>70</v>
      </c>
      <c r="C66" s="225" t="s">
        <v>1</v>
      </c>
      <c r="D66" s="225"/>
      <c r="E66" s="225" t="s">
        <v>2</v>
      </c>
      <c r="F66" s="225" t="s">
        <v>3</v>
      </c>
      <c r="G66" s="225"/>
      <c r="H66" s="225"/>
      <c r="I66" s="231" t="s">
        <v>142</v>
      </c>
      <c r="J66" s="225" t="s">
        <v>72</v>
      </c>
      <c r="K66" s="269" t="s">
        <v>180</v>
      </c>
      <c r="L66" s="153"/>
      <c r="M66" s="286" t="s">
        <v>156</v>
      </c>
      <c r="N66" s="287"/>
      <c r="O66" s="287"/>
      <c r="P66" s="287"/>
      <c r="Q66" s="287"/>
      <c r="R66" s="287"/>
      <c r="S66" s="287"/>
      <c r="T66" s="287"/>
      <c r="U66" s="287"/>
      <c r="V66" s="287"/>
      <c r="W66" s="287"/>
      <c r="X66" s="287"/>
      <c r="Y66" s="288"/>
    </row>
    <row r="67" spans="1:25" s="19" customFormat="1" ht="42.6" customHeight="1" x14ac:dyDescent="0.3">
      <c r="A67" s="17"/>
      <c r="B67" s="225"/>
      <c r="C67" s="225"/>
      <c r="D67" s="225"/>
      <c r="E67" s="225"/>
      <c r="F67" s="213" t="s">
        <v>139</v>
      </c>
      <c r="G67" s="213" t="s">
        <v>140</v>
      </c>
      <c r="H67" s="213" t="s">
        <v>141</v>
      </c>
      <c r="I67" s="231"/>
      <c r="J67" s="225"/>
      <c r="K67" s="269"/>
      <c r="L67" s="154"/>
      <c r="M67" s="289" t="s">
        <v>89</v>
      </c>
      <c r="N67" s="290"/>
      <c r="O67" s="290"/>
      <c r="P67" s="290"/>
      <c r="Q67" s="290"/>
      <c r="R67" s="290"/>
      <c r="S67" s="290"/>
      <c r="T67" s="290"/>
      <c r="U67" s="290"/>
      <c r="V67" s="290"/>
      <c r="W67" s="290"/>
      <c r="X67" s="290"/>
      <c r="Y67" s="291"/>
    </row>
    <row r="68" spans="1:25" s="19" customFormat="1" ht="22.05" customHeight="1" x14ac:dyDescent="0.3">
      <c r="A68" s="17"/>
      <c r="B68" s="268" t="s">
        <v>89</v>
      </c>
      <c r="C68" s="268"/>
      <c r="D68" s="268"/>
      <c r="E68" s="268"/>
      <c r="F68" s="268"/>
      <c r="G68" s="268"/>
      <c r="H68" s="268"/>
      <c r="I68" s="268"/>
      <c r="J68" s="268"/>
      <c r="K68" s="268"/>
      <c r="L68" s="155"/>
      <c r="M68" s="111" t="s">
        <v>143</v>
      </c>
      <c r="N68" s="111" t="s">
        <v>144</v>
      </c>
      <c r="O68" s="111" t="s">
        <v>145</v>
      </c>
      <c r="P68" s="111" t="s">
        <v>147</v>
      </c>
      <c r="Q68" s="111" t="s">
        <v>146</v>
      </c>
      <c r="R68" s="111" t="s">
        <v>148</v>
      </c>
      <c r="S68" s="111" t="s">
        <v>149</v>
      </c>
      <c r="T68" s="111" t="s">
        <v>150</v>
      </c>
      <c r="U68" s="111" t="s">
        <v>151</v>
      </c>
      <c r="V68" s="111" t="s">
        <v>152</v>
      </c>
      <c r="W68" s="111" t="s">
        <v>153</v>
      </c>
      <c r="X68" s="111" t="s">
        <v>154</v>
      </c>
      <c r="Y68" s="111" t="s">
        <v>155</v>
      </c>
    </row>
    <row r="69" spans="1:25" s="19" customFormat="1" ht="22.05" customHeight="1" x14ac:dyDescent="0.3">
      <c r="A69" s="17"/>
      <c r="B69" s="230" t="s">
        <v>4</v>
      </c>
      <c r="C69" s="224" t="s">
        <v>35</v>
      </c>
      <c r="D69" s="224"/>
      <c r="E69" s="48">
        <v>170</v>
      </c>
      <c r="F69" s="49">
        <v>4.2</v>
      </c>
      <c r="G69" s="49">
        <v>5.8</v>
      </c>
      <c r="H69" s="49">
        <v>20.9</v>
      </c>
      <c r="I69" s="49">
        <v>152.9</v>
      </c>
      <c r="J69" s="50" t="s">
        <v>34</v>
      </c>
      <c r="K69" s="156">
        <v>11.59</v>
      </c>
      <c r="L69" s="150"/>
      <c r="M69" s="82">
        <v>0.1</v>
      </c>
      <c r="N69" s="82">
        <v>0.1</v>
      </c>
      <c r="O69" s="82">
        <v>23.2</v>
      </c>
      <c r="P69" s="82">
        <v>0.3</v>
      </c>
      <c r="Q69" s="82">
        <v>0.7</v>
      </c>
      <c r="R69" s="82">
        <v>372</v>
      </c>
      <c r="S69" s="82">
        <v>153</v>
      </c>
      <c r="T69" s="82">
        <v>101.3</v>
      </c>
      <c r="U69" s="82">
        <v>21.8</v>
      </c>
      <c r="V69" s="82">
        <v>99.3</v>
      </c>
      <c r="W69" s="82">
        <v>0.7</v>
      </c>
      <c r="X69" s="82">
        <v>42.2</v>
      </c>
      <c r="Y69" s="82">
        <v>3.5</v>
      </c>
    </row>
    <row r="70" spans="1:25" s="19" customFormat="1" ht="22.05" customHeight="1" x14ac:dyDescent="0.3">
      <c r="A70" s="17"/>
      <c r="B70" s="230"/>
      <c r="C70" s="224" t="s">
        <v>111</v>
      </c>
      <c r="D70" s="224"/>
      <c r="E70" s="48">
        <v>35</v>
      </c>
      <c r="F70" s="49">
        <f>F16/100*35</f>
        <v>1.218</v>
      </c>
      <c r="G70" s="49">
        <f>G16/100*35</f>
        <v>0.224</v>
      </c>
      <c r="H70" s="49">
        <f>H16/100*35</f>
        <v>7.49</v>
      </c>
      <c r="I70" s="49">
        <f>I16/100*35</f>
        <v>46.977000000000004</v>
      </c>
      <c r="J70" s="48" t="s">
        <v>60</v>
      </c>
      <c r="K70" s="156">
        <v>2.73</v>
      </c>
      <c r="L70" s="150"/>
      <c r="M70" s="82">
        <f>M16/30*35</f>
        <v>0.14350000000000002</v>
      </c>
      <c r="N70" s="82">
        <f t="shared" ref="N70:Y70" si="10">N16/30*35</f>
        <v>8.8666666666666658E-2</v>
      </c>
      <c r="O70" s="82">
        <f t="shared" si="10"/>
        <v>0</v>
      </c>
      <c r="P70" s="82">
        <f t="shared" si="10"/>
        <v>1.96</v>
      </c>
      <c r="Q70" s="82">
        <f t="shared" si="10"/>
        <v>7.0000000000000007E-2</v>
      </c>
      <c r="R70" s="82">
        <f t="shared" si="10"/>
        <v>165.55</v>
      </c>
      <c r="S70" s="82">
        <f t="shared" si="10"/>
        <v>43.75</v>
      </c>
      <c r="T70" s="82">
        <f t="shared" si="10"/>
        <v>1.7150000000000001</v>
      </c>
      <c r="U70" s="82">
        <f t="shared" si="10"/>
        <v>14.350000000000001</v>
      </c>
      <c r="V70" s="82">
        <f t="shared" si="10"/>
        <v>45.15</v>
      </c>
      <c r="W70" s="82">
        <f t="shared" si="10"/>
        <v>1.2600000000000002</v>
      </c>
      <c r="X70" s="82">
        <f t="shared" si="10"/>
        <v>0</v>
      </c>
      <c r="Y70" s="82">
        <f t="shared" si="10"/>
        <v>10.080000000000002</v>
      </c>
    </row>
    <row r="71" spans="1:25" s="19" customFormat="1" ht="22.05" customHeight="1" x14ac:dyDescent="0.3">
      <c r="A71" s="17"/>
      <c r="B71" s="230"/>
      <c r="C71" s="224" t="s">
        <v>115</v>
      </c>
      <c r="D71" s="224"/>
      <c r="E71" s="48">
        <v>28</v>
      </c>
      <c r="F71" s="49">
        <f>F17/100*28</f>
        <v>0.53200000000000003</v>
      </c>
      <c r="G71" s="49">
        <f>G17/100*28</f>
        <v>0.126</v>
      </c>
      <c r="H71" s="49">
        <f>H17/100*28</f>
        <v>7</v>
      </c>
      <c r="I71" s="49">
        <f>I17/100*28</f>
        <v>34.644400000000005</v>
      </c>
      <c r="J71" s="48" t="s">
        <v>60</v>
      </c>
      <c r="K71" s="156"/>
      <c r="L71" s="150"/>
      <c r="M71" s="82">
        <f>M17/30*28</f>
        <v>0.12133333333333332</v>
      </c>
      <c r="N71" s="82">
        <f t="shared" ref="N71:Y71" si="11">N17/30*28</f>
        <v>9.3333333333333338E-2</v>
      </c>
      <c r="O71" s="82">
        <f t="shared" si="11"/>
        <v>0</v>
      </c>
      <c r="P71" s="82">
        <f t="shared" si="11"/>
        <v>1.0640000000000001</v>
      </c>
      <c r="Q71" s="82">
        <f t="shared" si="11"/>
        <v>0.112</v>
      </c>
      <c r="R71" s="82">
        <f t="shared" si="11"/>
        <v>168.84</v>
      </c>
      <c r="S71" s="82">
        <f t="shared" si="11"/>
        <v>20.439999999999998</v>
      </c>
      <c r="T71" s="82">
        <f t="shared" si="11"/>
        <v>0.33600000000000002</v>
      </c>
      <c r="U71" s="82">
        <f t="shared" si="11"/>
        <v>11.200000000000001</v>
      </c>
      <c r="V71" s="82">
        <f t="shared" si="11"/>
        <v>35</v>
      </c>
      <c r="W71" s="82">
        <f t="shared" si="11"/>
        <v>0.79333333333333333</v>
      </c>
      <c r="X71" s="82">
        <f t="shared" si="11"/>
        <v>0</v>
      </c>
      <c r="Y71" s="82">
        <f t="shared" si="11"/>
        <v>8.6519999999999992</v>
      </c>
    </row>
    <row r="72" spans="1:25" s="19" customFormat="1" ht="22.05" customHeight="1" x14ac:dyDescent="0.3">
      <c r="A72" s="17"/>
      <c r="B72" s="230"/>
      <c r="C72" s="224" t="s">
        <v>12</v>
      </c>
      <c r="D72" s="224"/>
      <c r="E72" s="48">
        <v>200</v>
      </c>
      <c r="F72" s="49">
        <v>3.5</v>
      </c>
      <c r="G72" s="49">
        <v>3.4</v>
      </c>
      <c r="H72" s="49">
        <v>22.3</v>
      </c>
      <c r="I72" s="49">
        <v>133.4</v>
      </c>
      <c r="J72" s="50" t="s">
        <v>11</v>
      </c>
      <c r="K72" s="156">
        <v>14.55</v>
      </c>
      <c r="L72" s="150"/>
      <c r="M72" s="82">
        <v>0</v>
      </c>
      <c r="N72" s="82">
        <v>0.13</v>
      </c>
      <c r="O72" s="82">
        <v>9.6</v>
      </c>
      <c r="P72" s="82">
        <v>0.12</v>
      </c>
      <c r="Q72" s="82">
        <v>0</v>
      </c>
      <c r="R72" s="82">
        <v>50</v>
      </c>
      <c r="S72" s="82">
        <v>199</v>
      </c>
      <c r="T72" s="82">
        <v>108</v>
      </c>
      <c r="U72" s="82">
        <v>26</v>
      </c>
      <c r="V72" s="82">
        <v>95</v>
      </c>
      <c r="W72" s="82">
        <v>1</v>
      </c>
      <c r="X72" s="82">
        <v>2.7</v>
      </c>
      <c r="Y72" s="82">
        <v>1</v>
      </c>
    </row>
    <row r="73" spans="1:25" s="47" customFormat="1" ht="22.05" customHeight="1" x14ac:dyDescent="0.3">
      <c r="A73" s="46"/>
      <c r="B73" s="230"/>
      <c r="C73" s="233" t="s">
        <v>41</v>
      </c>
      <c r="D73" s="234"/>
      <c r="E73" s="51">
        <v>200</v>
      </c>
      <c r="F73" s="52">
        <v>0.41</v>
      </c>
      <c r="G73" s="52">
        <v>0</v>
      </c>
      <c r="H73" s="52">
        <v>22.59</v>
      </c>
      <c r="I73" s="52">
        <v>92</v>
      </c>
      <c r="J73" s="53" t="s">
        <v>60</v>
      </c>
      <c r="K73" s="134">
        <v>36</v>
      </c>
      <c r="L73" s="134"/>
      <c r="M73" s="122">
        <v>0.02</v>
      </c>
      <c r="N73" s="122">
        <v>0.02</v>
      </c>
      <c r="O73" s="122">
        <v>0</v>
      </c>
      <c r="P73" s="122">
        <v>0.04</v>
      </c>
      <c r="Q73" s="122">
        <v>4</v>
      </c>
      <c r="R73" s="122">
        <v>12</v>
      </c>
      <c r="S73" s="122">
        <v>240</v>
      </c>
      <c r="T73" s="122">
        <v>14</v>
      </c>
      <c r="U73" s="122">
        <v>8</v>
      </c>
      <c r="V73" s="122">
        <v>14</v>
      </c>
      <c r="W73" s="122">
        <v>2.8</v>
      </c>
      <c r="X73" s="122">
        <v>2</v>
      </c>
      <c r="Y73" s="122">
        <v>0</v>
      </c>
    </row>
    <row r="74" spans="1:25" s="19" customFormat="1" ht="22.05" customHeight="1" x14ac:dyDescent="0.3">
      <c r="A74" s="17"/>
      <c r="B74" s="65"/>
      <c r="C74" s="272" t="s">
        <v>213</v>
      </c>
      <c r="D74" s="273"/>
      <c r="E74" s="66">
        <f>SUM(E69:E73)</f>
        <v>633</v>
      </c>
      <c r="F74" s="68">
        <f>SUM(F69:F73)</f>
        <v>9.86</v>
      </c>
      <c r="G74" s="68">
        <f>SUM(G69:G73)</f>
        <v>9.5500000000000007</v>
      </c>
      <c r="H74" s="68">
        <f>SUM(H69:H73)</f>
        <v>80.28</v>
      </c>
      <c r="I74" s="68">
        <f>SUM(I69:I73)</f>
        <v>459.92140000000006</v>
      </c>
      <c r="J74" s="67"/>
      <c r="K74" s="157">
        <f>SUM(K69:K73)</f>
        <v>64.87</v>
      </c>
      <c r="L74" s="150"/>
      <c r="M74" s="102">
        <f t="shared" ref="M74:Y74" si="12">SUM(M69:M73)</f>
        <v>0.38483333333333336</v>
      </c>
      <c r="N74" s="102">
        <f t="shared" si="12"/>
        <v>0.432</v>
      </c>
      <c r="O74" s="102">
        <f t="shared" si="12"/>
        <v>32.799999999999997</v>
      </c>
      <c r="P74" s="102">
        <f t="shared" si="12"/>
        <v>3.484</v>
      </c>
      <c r="Q74" s="102">
        <f t="shared" si="12"/>
        <v>4.8819999999999997</v>
      </c>
      <c r="R74" s="102">
        <f t="shared" si="12"/>
        <v>768.39</v>
      </c>
      <c r="S74" s="102">
        <f t="shared" si="12"/>
        <v>656.19</v>
      </c>
      <c r="T74" s="102">
        <f t="shared" si="12"/>
        <v>225.351</v>
      </c>
      <c r="U74" s="102">
        <f t="shared" si="12"/>
        <v>81.350000000000009</v>
      </c>
      <c r="V74" s="102">
        <f t="shared" si="12"/>
        <v>288.45</v>
      </c>
      <c r="W74" s="102">
        <f t="shared" si="12"/>
        <v>6.5533333333333328</v>
      </c>
      <c r="X74" s="102">
        <f t="shared" si="12"/>
        <v>46.900000000000006</v>
      </c>
      <c r="Y74" s="102">
        <f t="shared" si="12"/>
        <v>23.231999999999999</v>
      </c>
    </row>
    <row r="75" spans="1:25" s="19" customFormat="1" ht="22.05" customHeight="1" x14ac:dyDescent="0.3">
      <c r="A75" s="17"/>
      <c r="B75" s="95"/>
      <c r="C75" s="96"/>
      <c r="D75" s="97"/>
      <c r="E75" s="98"/>
      <c r="F75" s="98"/>
      <c r="G75" s="98"/>
      <c r="H75" s="98"/>
      <c r="I75" s="98"/>
      <c r="J75" s="100"/>
      <c r="K75" s="18"/>
      <c r="L75" s="18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</row>
    <row r="76" spans="1:25" s="19" customFormat="1" ht="22.05" customHeight="1" x14ac:dyDescent="0.3">
      <c r="A76" s="17"/>
      <c r="B76" s="95"/>
      <c r="C76" s="96"/>
      <c r="D76" s="97"/>
      <c r="E76" s="98"/>
      <c r="F76" s="98"/>
      <c r="G76" s="98"/>
      <c r="H76" s="98"/>
      <c r="I76" s="98"/>
      <c r="J76" s="100"/>
      <c r="K76" s="18"/>
      <c r="L76" s="18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</row>
    <row r="77" spans="1:25" s="19" customFormat="1" ht="22.05" customHeight="1" x14ac:dyDescent="0.3">
      <c r="A77" s="17"/>
      <c r="B77" s="225" t="s">
        <v>57</v>
      </c>
      <c r="C77" s="225"/>
      <c r="D77" s="225"/>
      <c r="E77" s="225"/>
      <c r="F77" s="225"/>
      <c r="G77" s="225"/>
      <c r="H77" s="225"/>
      <c r="I77" s="225"/>
      <c r="J77" s="225"/>
      <c r="K77" s="225"/>
      <c r="L77" s="18"/>
      <c r="M77" s="285"/>
      <c r="N77" s="285"/>
      <c r="O77" s="285"/>
      <c r="P77" s="285"/>
      <c r="Q77" s="285"/>
      <c r="R77" s="285"/>
      <c r="S77" s="285"/>
      <c r="T77" s="285"/>
      <c r="U77" s="285"/>
      <c r="V77" s="285"/>
      <c r="W77" s="285"/>
      <c r="X77" s="285"/>
      <c r="Y77" s="285"/>
    </row>
    <row r="78" spans="1:25" s="19" customFormat="1" ht="22.05" customHeight="1" x14ac:dyDescent="0.3">
      <c r="A78" s="17"/>
      <c r="B78" s="225" t="s">
        <v>70</v>
      </c>
      <c r="C78" s="225" t="s">
        <v>1</v>
      </c>
      <c r="D78" s="225"/>
      <c r="E78" s="225" t="s">
        <v>2</v>
      </c>
      <c r="F78" s="225" t="s">
        <v>3</v>
      </c>
      <c r="G78" s="225"/>
      <c r="H78" s="225"/>
      <c r="I78" s="231" t="s">
        <v>142</v>
      </c>
      <c r="J78" s="225" t="s">
        <v>0</v>
      </c>
      <c r="K78" s="269" t="s">
        <v>180</v>
      </c>
      <c r="L78" s="153"/>
      <c r="M78" s="286" t="s">
        <v>156</v>
      </c>
      <c r="N78" s="287"/>
      <c r="O78" s="287"/>
      <c r="P78" s="287"/>
      <c r="Q78" s="287"/>
      <c r="R78" s="287"/>
      <c r="S78" s="287"/>
      <c r="T78" s="287"/>
      <c r="U78" s="287"/>
      <c r="V78" s="287"/>
      <c r="W78" s="287"/>
      <c r="X78" s="287"/>
      <c r="Y78" s="288"/>
    </row>
    <row r="79" spans="1:25" s="19" customFormat="1" ht="43.8" customHeight="1" x14ac:dyDescent="0.3">
      <c r="A79" s="17"/>
      <c r="B79" s="225"/>
      <c r="C79" s="225"/>
      <c r="D79" s="225"/>
      <c r="E79" s="225"/>
      <c r="F79" s="213" t="s">
        <v>139</v>
      </c>
      <c r="G79" s="213" t="s">
        <v>140</v>
      </c>
      <c r="H79" s="213" t="s">
        <v>141</v>
      </c>
      <c r="I79" s="231"/>
      <c r="J79" s="225"/>
      <c r="K79" s="269"/>
      <c r="L79" s="154"/>
      <c r="M79" s="289" t="s">
        <v>172</v>
      </c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1"/>
    </row>
    <row r="80" spans="1:25" s="19" customFormat="1" ht="22.05" customHeight="1" x14ac:dyDescent="0.3">
      <c r="A80" s="17"/>
      <c r="B80" s="268" t="s">
        <v>90</v>
      </c>
      <c r="C80" s="268"/>
      <c r="D80" s="268"/>
      <c r="E80" s="268"/>
      <c r="F80" s="268"/>
      <c r="G80" s="268"/>
      <c r="H80" s="268"/>
      <c r="I80" s="268"/>
      <c r="J80" s="268"/>
      <c r="K80" s="268"/>
      <c r="L80" s="155"/>
      <c r="M80" s="111" t="s">
        <v>143</v>
      </c>
      <c r="N80" s="111" t="s">
        <v>144</v>
      </c>
      <c r="O80" s="111" t="s">
        <v>145</v>
      </c>
      <c r="P80" s="111" t="s">
        <v>147</v>
      </c>
      <c r="Q80" s="111" t="s">
        <v>146</v>
      </c>
      <c r="R80" s="111" t="s">
        <v>148</v>
      </c>
      <c r="S80" s="111" t="s">
        <v>149</v>
      </c>
      <c r="T80" s="111" t="s">
        <v>150</v>
      </c>
      <c r="U80" s="111" t="s">
        <v>151</v>
      </c>
      <c r="V80" s="111" t="s">
        <v>152</v>
      </c>
      <c r="W80" s="111" t="s">
        <v>153</v>
      </c>
      <c r="X80" s="111" t="s">
        <v>154</v>
      </c>
      <c r="Y80" s="111" t="s">
        <v>155</v>
      </c>
    </row>
    <row r="81" spans="1:25" s="19" customFormat="1" ht="22.05" customHeight="1" x14ac:dyDescent="0.3">
      <c r="A81" s="17"/>
      <c r="B81" s="230" t="s">
        <v>4</v>
      </c>
      <c r="C81" s="224" t="s">
        <v>14</v>
      </c>
      <c r="D81" s="275"/>
      <c r="E81" s="48">
        <v>180</v>
      </c>
      <c r="F81" s="49">
        <v>4.3</v>
      </c>
      <c r="G81" s="49">
        <v>4.9000000000000004</v>
      </c>
      <c r="H81" s="49">
        <v>16.8</v>
      </c>
      <c r="I81" s="49">
        <v>128.9</v>
      </c>
      <c r="J81" s="50" t="s">
        <v>13</v>
      </c>
      <c r="K81" s="156">
        <v>20.05</v>
      </c>
      <c r="L81" s="150"/>
      <c r="M81" s="82">
        <v>0.04</v>
      </c>
      <c r="N81" s="82">
        <v>0.14000000000000001</v>
      </c>
      <c r="O81" s="82">
        <v>20.52</v>
      </c>
      <c r="P81" s="82">
        <v>0.28999999999999998</v>
      </c>
      <c r="Q81" s="82">
        <v>0.54</v>
      </c>
      <c r="R81" s="82">
        <v>135.36000000000001</v>
      </c>
      <c r="S81" s="82">
        <v>192.06</v>
      </c>
      <c r="T81" s="82">
        <v>138.24</v>
      </c>
      <c r="U81" s="82">
        <v>18.18</v>
      </c>
      <c r="V81" s="82">
        <v>112.32</v>
      </c>
      <c r="W81" s="82">
        <v>0.36</v>
      </c>
      <c r="X81" s="82">
        <v>18.54</v>
      </c>
      <c r="Y81" s="82">
        <v>4.1399999999999997</v>
      </c>
    </row>
    <row r="82" spans="1:25" s="19" customFormat="1" ht="22.05" customHeight="1" x14ac:dyDescent="0.3">
      <c r="B82" s="230"/>
      <c r="C82" s="271" t="s">
        <v>24</v>
      </c>
      <c r="D82" s="271"/>
      <c r="E82" s="64">
        <v>10</v>
      </c>
      <c r="F82" s="58">
        <v>0.1</v>
      </c>
      <c r="G82" s="58">
        <v>8.3000000000000007</v>
      </c>
      <c r="H82" s="58">
        <v>0.1</v>
      </c>
      <c r="I82" s="58">
        <v>74.900000000000006</v>
      </c>
      <c r="J82" s="59" t="s">
        <v>212</v>
      </c>
      <c r="K82" s="210">
        <v>7.4</v>
      </c>
      <c r="L82" s="211"/>
      <c r="M82" s="203">
        <v>0</v>
      </c>
      <c r="N82" s="203">
        <v>0</v>
      </c>
      <c r="O82" s="203">
        <v>50</v>
      </c>
      <c r="P82" s="203">
        <v>0.01</v>
      </c>
      <c r="Q82" s="203">
        <v>0</v>
      </c>
      <c r="R82" s="203">
        <v>7</v>
      </c>
      <c r="S82" s="203">
        <v>2</v>
      </c>
      <c r="T82" s="203">
        <v>2</v>
      </c>
      <c r="U82" s="203">
        <v>0</v>
      </c>
      <c r="V82" s="203">
        <v>2</v>
      </c>
      <c r="W82" s="203">
        <v>0</v>
      </c>
      <c r="X82" s="203">
        <v>0</v>
      </c>
      <c r="Y82" s="203">
        <v>0</v>
      </c>
    </row>
    <row r="83" spans="1:25" s="19" customFormat="1" ht="22.05" customHeight="1" x14ac:dyDescent="0.3">
      <c r="A83" s="17"/>
      <c r="B83" s="230"/>
      <c r="C83" s="224" t="s">
        <v>111</v>
      </c>
      <c r="D83" s="224"/>
      <c r="E83" s="48">
        <v>50</v>
      </c>
      <c r="F83" s="49">
        <f>F16/100*50</f>
        <v>1.7399999999999998</v>
      </c>
      <c r="G83" s="49">
        <f>G16/100*50</f>
        <v>0.32</v>
      </c>
      <c r="H83" s="49">
        <f>H16/100*50</f>
        <v>10.7</v>
      </c>
      <c r="I83" s="49">
        <f>I16/100*50</f>
        <v>67.11</v>
      </c>
      <c r="J83" s="48" t="s">
        <v>60</v>
      </c>
      <c r="K83" s="156">
        <v>4.3600000000000003</v>
      </c>
      <c r="L83" s="150"/>
      <c r="M83" s="82">
        <f t="shared" ref="M83:Y83" si="13">M16/30*50</f>
        <v>0.20500000000000002</v>
      </c>
      <c r="N83" s="82">
        <f t="shared" si="13"/>
        <v>0.12666666666666665</v>
      </c>
      <c r="O83" s="82">
        <f t="shared" si="13"/>
        <v>0</v>
      </c>
      <c r="P83" s="82">
        <f t="shared" si="13"/>
        <v>2.8000000000000003</v>
      </c>
      <c r="Q83" s="82">
        <f t="shared" si="13"/>
        <v>0.1</v>
      </c>
      <c r="R83" s="82">
        <f t="shared" si="13"/>
        <v>236.50000000000003</v>
      </c>
      <c r="S83" s="82">
        <f t="shared" si="13"/>
        <v>62.5</v>
      </c>
      <c r="T83" s="82">
        <f t="shared" si="13"/>
        <v>2.4500000000000002</v>
      </c>
      <c r="U83" s="82">
        <f t="shared" si="13"/>
        <v>20.5</v>
      </c>
      <c r="V83" s="82">
        <f t="shared" si="13"/>
        <v>64.5</v>
      </c>
      <c r="W83" s="82">
        <f t="shared" si="13"/>
        <v>1.8000000000000003</v>
      </c>
      <c r="X83" s="82">
        <f t="shared" si="13"/>
        <v>0</v>
      </c>
      <c r="Y83" s="82">
        <f t="shared" si="13"/>
        <v>14.400000000000002</v>
      </c>
    </row>
    <row r="84" spans="1:25" s="19" customFormat="1" ht="30" customHeight="1" x14ac:dyDescent="0.3">
      <c r="A84" s="17"/>
      <c r="B84" s="230"/>
      <c r="C84" s="267" t="s">
        <v>18</v>
      </c>
      <c r="D84" s="267"/>
      <c r="E84" s="48">
        <v>200</v>
      </c>
      <c r="F84" s="49">
        <v>0.3</v>
      </c>
      <c r="G84" s="49">
        <v>0</v>
      </c>
      <c r="H84" s="49">
        <v>6.7</v>
      </c>
      <c r="I84" s="49">
        <v>27.6</v>
      </c>
      <c r="J84" s="50" t="s">
        <v>17</v>
      </c>
      <c r="K84" s="206">
        <v>3.22</v>
      </c>
      <c r="L84" s="207"/>
      <c r="M84" s="208">
        <v>0</v>
      </c>
      <c r="N84" s="208">
        <v>0.01</v>
      </c>
      <c r="O84" s="208">
        <v>0</v>
      </c>
      <c r="P84" s="208">
        <v>7.0000000000000007E-2</v>
      </c>
      <c r="Q84" s="208">
        <v>1</v>
      </c>
      <c r="R84" s="208">
        <v>2</v>
      </c>
      <c r="S84" s="208">
        <v>36</v>
      </c>
      <c r="T84" s="208">
        <v>6</v>
      </c>
      <c r="U84" s="208">
        <v>5</v>
      </c>
      <c r="V84" s="208">
        <v>8</v>
      </c>
      <c r="W84" s="208">
        <v>1</v>
      </c>
      <c r="X84" s="208">
        <v>0</v>
      </c>
      <c r="Y84" s="208">
        <v>0</v>
      </c>
    </row>
    <row r="85" spans="1:25" s="19" customFormat="1" ht="22.05" customHeight="1" x14ac:dyDescent="0.3">
      <c r="A85" s="17"/>
      <c r="B85" s="230"/>
      <c r="C85" s="224" t="s">
        <v>159</v>
      </c>
      <c r="D85" s="224"/>
      <c r="E85" s="48">
        <v>100</v>
      </c>
      <c r="F85" s="49">
        <v>2.6</v>
      </c>
      <c r="G85" s="49">
        <v>2.5</v>
      </c>
      <c r="H85" s="49">
        <v>16</v>
      </c>
      <c r="I85" s="49">
        <v>95</v>
      </c>
      <c r="J85" s="48" t="s">
        <v>60</v>
      </c>
      <c r="K85" s="133">
        <v>35</v>
      </c>
      <c r="L85" s="158"/>
      <c r="M85" s="82">
        <v>0</v>
      </c>
      <c r="N85" s="82">
        <v>0</v>
      </c>
      <c r="O85" s="82">
        <v>500</v>
      </c>
      <c r="P85" s="82">
        <v>0</v>
      </c>
      <c r="Q85" s="82">
        <v>0</v>
      </c>
      <c r="R85" s="82">
        <v>0</v>
      </c>
      <c r="S85" s="82">
        <v>0</v>
      </c>
      <c r="T85" s="82">
        <v>0</v>
      </c>
      <c r="U85" s="82">
        <v>0</v>
      </c>
      <c r="V85" s="82">
        <v>0</v>
      </c>
      <c r="W85" s="82">
        <v>0</v>
      </c>
      <c r="X85" s="82">
        <v>0</v>
      </c>
      <c r="Y85" s="82">
        <v>0</v>
      </c>
    </row>
    <row r="86" spans="1:25" s="19" customFormat="1" ht="22.05" customHeight="1" x14ac:dyDescent="0.3">
      <c r="A86" s="17"/>
      <c r="B86" s="65"/>
      <c r="C86" s="272" t="s">
        <v>213</v>
      </c>
      <c r="D86" s="273"/>
      <c r="E86" s="68">
        <f>SUM(E81:E85)</f>
        <v>540</v>
      </c>
      <c r="F86" s="68">
        <f>SUM(F81:F85)</f>
        <v>9.0399999999999991</v>
      </c>
      <c r="G86" s="68">
        <f>SUM(G81:G85)</f>
        <v>16.020000000000003</v>
      </c>
      <c r="H86" s="68">
        <f>SUM(H81:H85)</f>
        <v>50.300000000000004</v>
      </c>
      <c r="I86" s="68">
        <f>SUM(I81:I85)</f>
        <v>393.51000000000005</v>
      </c>
      <c r="J86" s="69"/>
      <c r="K86" s="157">
        <f>SUM(K81:K85)</f>
        <v>70.03</v>
      </c>
      <c r="L86" s="150"/>
      <c r="M86" s="102">
        <f t="shared" ref="M86:Y86" si="14">SUM(M81:M85)</f>
        <v>0.24500000000000002</v>
      </c>
      <c r="N86" s="102">
        <f t="shared" si="14"/>
        <v>0.27666666666666667</v>
      </c>
      <c r="O86" s="102">
        <f t="shared" si="14"/>
        <v>570.52</v>
      </c>
      <c r="P86" s="102">
        <f t="shared" si="14"/>
        <v>3.17</v>
      </c>
      <c r="Q86" s="102">
        <f t="shared" si="14"/>
        <v>1.6400000000000001</v>
      </c>
      <c r="R86" s="102">
        <f t="shared" si="14"/>
        <v>380.86</v>
      </c>
      <c r="S86" s="102">
        <f t="shared" si="14"/>
        <v>292.56</v>
      </c>
      <c r="T86" s="102">
        <f t="shared" si="14"/>
        <v>148.69</v>
      </c>
      <c r="U86" s="102">
        <f t="shared" si="14"/>
        <v>43.68</v>
      </c>
      <c r="V86" s="102">
        <f t="shared" si="14"/>
        <v>186.82</v>
      </c>
      <c r="W86" s="102">
        <f t="shared" si="14"/>
        <v>3.16</v>
      </c>
      <c r="X86" s="102">
        <f t="shared" si="14"/>
        <v>18.54</v>
      </c>
      <c r="Y86" s="102">
        <f t="shared" si="14"/>
        <v>18.540000000000003</v>
      </c>
    </row>
    <row r="87" spans="1:25" s="184" customFormat="1" ht="22.05" customHeight="1" x14ac:dyDescent="0.3">
      <c r="A87" s="17"/>
      <c r="B87" s="95"/>
      <c r="C87" s="96"/>
      <c r="D87" s="97"/>
      <c r="E87" s="99"/>
      <c r="F87" s="99"/>
      <c r="G87" s="99"/>
      <c r="H87" s="99"/>
      <c r="I87" s="99"/>
      <c r="J87" s="101"/>
      <c r="K87" s="160"/>
      <c r="L87" s="18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  <c r="X87" s="180"/>
      <c r="Y87" s="180"/>
    </row>
    <row r="88" spans="1:25" s="184" customFormat="1" ht="22.05" customHeight="1" x14ac:dyDescent="0.3">
      <c r="A88" s="17"/>
      <c r="B88" s="95"/>
      <c r="C88" s="96"/>
      <c r="D88" s="97"/>
      <c r="E88" s="99"/>
      <c r="F88" s="99"/>
      <c r="G88" s="99"/>
      <c r="H88" s="99"/>
      <c r="I88" s="99"/>
      <c r="J88" s="101"/>
      <c r="K88" s="160"/>
      <c r="L88" s="18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0"/>
      <c r="X88" s="180"/>
      <c r="Y88" s="180"/>
    </row>
    <row r="89" spans="1:25" s="19" customFormat="1" ht="22.05" customHeight="1" x14ac:dyDescent="0.3">
      <c r="A89" s="17"/>
      <c r="B89" s="225" t="s">
        <v>57</v>
      </c>
      <c r="C89" s="225"/>
      <c r="D89" s="225"/>
      <c r="E89" s="225"/>
      <c r="F89" s="225"/>
      <c r="G89" s="225"/>
      <c r="H89" s="225"/>
      <c r="I89" s="225"/>
      <c r="J89" s="225"/>
      <c r="K89" s="225"/>
      <c r="L89" s="18"/>
      <c r="M89" s="285"/>
      <c r="N89" s="285"/>
      <c r="O89" s="285"/>
      <c r="P89" s="285"/>
      <c r="Q89" s="285"/>
      <c r="R89" s="285"/>
      <c r="S89" s="285"/>
      <c r="T89" s="285"/>
      <c r="U89" s="285"/>
      <c r="V89" s="285"/>
      <c r="W89" s="285"/>
      <c r="X89" s="285"/>
      <c r="Y89" s="285"/>
    </row>
    <row r="90" spans="1:25" s="19" customFormat="1" ht="22.05" customHeight="1" x14ac:dyDescent="0.3">
      <c r="A90" s="17"/>
      <c r="B90" s="225" t="s">
        <v>70</v>
      </c>
      <c r="C90" s="225" t="s">
        <v>1</v>
      </c>
      <c r="D90" s="225"/>
      <c r="E90" s="225" t="s">
        <v>2</v>
      </c>
      <c r="F90" s="225" t="s">
        <v>3</v>
      </c>
      <c r="G90" s="225"/>
      <c r="H90" s="225"/>
      <c r="I90" s="231" t="s">
        <v>142</v>
      </c>
      <c r="J90" s="225" t="s">
        <v>0</v>
      </c>
      <c r="K90" s="269" t="s">
        <v>180</v>
      </c>
      <c r="L90" s="153"/>
      <c r="M90" s="286" t="s">
        <v>156</v>
      </c>
      <c r="N90" s="287"/>
      <c r="O90" s="287"/>
      <c r="P90" s="287"/>
      <c r="Q90" s="287"/>
      <c r="R90" s="287"/>
      <c r="S90" s="287"/>
      <c r="T90" s="287"/>
      <c r="U90" s="287"/>
      <c r="V90" s="287"/>
      <c r="W90" s="287"/>
      <c r="X90" s="287"/>
      <c r="Y90" s="288"/>
    </row>
    <row r="91" spans="1:25" s="19" customFormat="1" ht="46.8" customHeight="1" x14ac:dyDescent="0.3">
      <c r="A91" s="17"/>
      <c r="B91" s="225"/>
      <c r="C91" s="225"/>
      <c r="D91" s="225"/>
      <c r="E91" s="225"/>
      <c r="F91" s="213" t="s">
        <v>139</v>
      </c>
      <c r="G91" s="213" t="s">
        <v>140</v>
      </c>
      <c r="H91" s="213" t="s">
        <v>141</v>
      </c>
      <c r="I91" s="231"/>
      <c r="J91" s="225"/>
      <c r="K91" s="269"/>
      <c r="L91" s="154"/>
      <c r="M91" s="289" t="s">
        <v>173</v>
      </c>
      <c r="N91" s="290"/>
      <c r="O91" s="290"/>
      <c r="P91" s="290"/>
      <c r="Q91" s="290"/>
      <c r="R91" s="290"/>
      <c r="S91" s="290"/>
      <c r="T91" s="290"/>
      <c r="U91" s="290"/>
      <c r="V91" s="290"/>
      <c r="W91" s="290"/>
      <c r="X91" s="290"/>
      <c r="Y91" s="291"/>
    </row>
    <row r="92" spans="1:25" s="19" customFormat="1" ht="22.05" customHeight="1" x14ac:dyDescent="0.3">
      <c r="A92" s="17"/>
      <c r="B92" s="268" t="s">
        <v>76</v>
      </c>
      <c r="C92" s="268"/>
      <c r="D92" s="268"/>
      <c r="E92" s="268"/>
      <c r="F92" s="268"/>
      <c r="G92" s="268"/>
      <c r="H92" s="268"/>
      <c r="I92" s="268"/>
      <c r="J92" s="268"/>
      <c r="K92" s="268"/>
      <c r="L92" s="155"/>
      <c r="M92" s="111" t="s">
        <v>143</v>
      </c>
      <c r="N92" s="111" t="s">
        <v>144</v>
      </c>
      <c r="O92" s="111" t="s">
        <v>145</v>
      </c>
      <c r="P92" s="111" t="s">
        <v>147</v>
      </c>
      <c r="Q92" s="111" t="s">
        <v>146</v>
      </c>
      <c r="R92" s="111" t="s">
        <v>148</v>
      </c>
      <c r="S92" s="111" t="s">
        <v>149</v>
      </c>
      <c r="T92" s="111" t="s">
        <v>150</v>
      </c>
      <c r="U92" s="111" t="s">
        <v>151</v>
      </c>
      <c r="V92" s="111" t="s">
        <v>152</v>
      </c>
      <c r="W92" s="111" t="s">
        <v>153</v>
      </c>
      <c r="X92" s="111" t="s">
        <v>154</v>
      </c>
      <c r="Y92" s="111" t="s">
        <v>155</v>
      </c>
    </row>
    <row r="93" spans="1:25" s="19" customFormat="1" ht="22.05" customHeight="1" x14ac:dyDescent="0.3">
      <c r="A93" s="17"/>
      <c r="B93" s="230" t="s">
        <v>4</v>
      </c>
      <c r="C93" s="224" t="s">
        <v>37</v>
      </c>
      <c r="D93" s="278"/>
      <c r="E93" s="48">
        <v>170</v>
      </c>
      <c r="F93" s="49">
        <v>7.4</v>
      </c>
      <c r="G93" s="49">
        <v>9</v>
      </c>
      <c r="H93" s="49">
        <v>34</v>
      </c>
      <c r="I93" s="49">
        <v>246.4</v>
      </c>
      <c r="J93" s="50" t="s">
        <v>87</v>
      </c>
      <c r="K93" s="156">
        <v>19.07</v>
      </c>
      <c r="L93" s="150"/>
      <c r="M93" s="82">
        <v>0.12</v>
      </c>
      <c r="N93" s="82">
        <v>0.13</v>
      </c>
      <c r="O93" s="82">
        <v>36.31</v>
      </c>
      <c r="P93" s="82">
        <v>0.54</v>
      </c>
      <c r="Q93" s="82">
        <v>0.68</v>
      </c>
      <c r="R93" s="82">
        <v>369.24</v>
      </c>
      <c r="S93" s="82">
        <v>133.28</v>
      </c>
      <c r="T93" s="82">
        <v>100.64</v>
      </c>
      <c r="U93" s="82">
        <v>11.56</v>
      </c>
      <c r="V93" s="82">
        <v>174.76</v>
      </c>
      <c r="W93" s="82">
        <v>2.72</v>
      </c>
      <c r="X93" s="82">
        <v>42.09</v>
      </c>
      <c r="Y93" s="82">
        <v>27.88</v>
      </c>
    </row>
    <row r="94" spans="1:25" s="19" customFormat="1" ht="22.05" customHeight="1" x14ac:dyDescent="0.3">
      <c r="B94" s="230"/>
      <c r="C94" s="271" t="s">
        <v>24</v>
      </c>
      <c r="D94" s="271"/>
      <c r="E94" s="64">
        <v>10</v>
      </c>
      <c r="F94" s="58">
        <v>0.1</v>
      </c>
      <c r="G94" s="58">
        <v>8.3000000000000007</v>
      </c>
      <c r="H94" s="58">
        <v>0.1</v>
      </c>
      <c r="I94" s="58">
        <v>74.900000000000006</v>
      </c>
      <c r="J94" s="59" t="s">
        <v>212</v>
      </c>
      <c r="K94" s="210">
        <v>7.4</v>
      </c>
      <c r="L94" s="211"/>
      <c r="M94" s="203">
        <v>0</v>
      </c>
      <c r="N94" s="203">
        <v>0</v>
      </c>
      <c r="O94" s="203">
        <v>50</v>
      </c>
      <c r="P94" s="203">
        <v>0.01</v>
      </c>
      <c r="Q94" s="203">
        <v>0</v>
      </c>
      <c r="R94" s="203">
        <v>7</v>
      </c>
      <c r="S94" s="203">
        <v>2</v>
      </c>
      <c r="T94" s="203">
        <v>2</v>
      </c>
      <c r="U94" s="203">
        <v>0</v>
      </c>
      <c r="V94" s="203">
        <v>2</v>
      </c>
      <c r="W94" s="203">
        <v>0</v>
      </c>
      <c r="X94" s="203">
        <v>0</v>
      </c>
      <c r="Y94" s="203">
        <v>0</v>
      </c>
    </row>
    <row r="95" spans="1:25" s="19" customFormat="1" ht="24" customHeight="1" x14ac:dyDescent="0.3">
      <c r="A95" s="17"/>
      <c r="B95" s="230"/>
      <c r="C95" s="224" t="s">
        <v>16</v>
      </c>
      <c r="D95" s="224"/>
      <c r="E95" s="48">
        <v>15</v>
      </c>
      <c r="F95" s="49">
        <v>3.51</v>
      </c>
      <c r="G95" s="49">
        <v>4.5</v>
      </c>
      <c r="H95" s="49">
        <v>0</v>
      </c>
      <c r="I95" s="49">
        <v>54.5</v>
      </c>
      <c r="J95" s="50" t="s">
        <v>15</v>
      </c>
      <c r="K95" s="156">
        <v>10.97</v>
      </c>
      <c r="L95" s="150"/>
      <c r="M95" s="82">
        <v>0.01</v>
      </c>
      <c r="N95" s="82">
        <v>0.04</v>
      </c>
      <c r="O95" s="82">
        <v>39</v>
      </c>
      <c r="P95" s="82">
        <v>0.04</v>
      </c>
      <c r="Q95" s="82">
        <v>0</v>
      </c>
      <c r="R95" s="82">
        <v>150</v>
      </c>
      <c r="S95" s="82">
        <v>17</v>
      </c>
      <c r="T95" s="82">
        <v>150</v>
      </c>
      <c r="U95" s="82">
        <v>7</v>
      </c>
      <c r="V95" s="82">
        <v>82</v>
      </c>
      <c r="W95" s="82">
        <v>0</v>
      </c>
      <c r="X95" s="82">
        <v>0</v>
      </c>
      <c r="Y95" s="82">
        <v>0</v>
      </c>
    </row>
    <row r="96" spans="1:25" s="19" customFormat="1" ht="22.05" customHeight="1" x14ac:dyDescent="0.3">
      <c r="A96" s="17"/>
      <c r="B96" s="230"/>
      <c r="C96" s="224" t="s">
        <v>111</v>
      </c>
      <c r="D96" s="224"/>
      <c r="E96" s="48">
        <v>31</v>
      </c>
      <c r="F96" s="49">
        <f>F16/100*31</f>
        <v>1.0788</v>
      </c>
      <c r="G96" s="49">
        <f>G16/100*31</f>
        <v>0.19840000000000002</v>
      </c>
      <c r="H96" s="49">
        <f>H16/100*31</f>
        <v>6.6339999999999995</v>
      </c>
      <c r="I96" s="49">
        <f>I16/100*31</f>
        <v>41.608200000000004</v>
      </c>
      <c r="J96" s="48" t="s">
        <v>60</v>
      </c>
      <c r="K96" s="156">
        <v>4.3600000000000003</v>
      </c>
      <c r="L96" s="150"/>
      <c r="M96" s="82">
        <f t="shared" ref="M96:Y96" si="15">M16/30*31</f>
        <v>0.12710000000000002</v>
      </c>
      <c r="N96" s="82">
        <f t="shared" si="15"/>
        <v>7.853333333333333E-2</v>
      </c>
      <c r="O96" s="82">
        <f t="shared" si="15"/>
        <v>0</v>
      </c>
      <c r="P96" s="82">
        <f t="shared" si="15"/>
        <v>1.736</v>
      </c>
      <c r="Q96" s="82">
        <f t="shared" si="15"/>
        <v>6.2E-2</v>
      </c>
      <c r="R96" s="82">
        <f t="shared" si="15"/>
        <v>146.63000000000002</v>
      </c>
      <c r="S96" s="82">
        <f t="shared" si="15"/>
        <v>38.75</v>
      </c>
      <c r="T96" s="82">
        <f t="shared" si="15"/>
        <v>1.5190000000000001</v>
      </c>
      <c r="U96" s="82">
        <f t="shared" si="15"/>
        <v>12.71</v>
      </c>
      <c r="V96" s="82">
        <f t="shared" si="15"/>
        <v>39.99</v>
      </c>
      <c r="W96" s="82">
        <f t="shared" si="15"/>
        <v>1.1160000000000001</v>
      </c>
      <c r="X96" s="82">
        <f t="shared" si="15"/>
        <v>0</v>
      </c>
      <c r="Y96" s="82">
        <f t="shared" si="15"/>
        <v>8.9280000000000008</v>
      </c>
    </row>
    <row r="97" spans="1:25" s="19" customFormat="1" ht="30" customHeight="1" x14ac:dyDescent="0.3">
      <c r="A97" s="17"/>
      <c r="B97" s="230"/>
      <c r="C97" s="267" t="s">
        <v>18</v>
      </c>
      <c r="D97" s="267"/>
      <c r="E97" s="48">
        <v>200</v>
      </c>
      <c r="F97" s="49">
        <v>0.3</v>
      </c>
      <c r="G97" s="49">
        <v>0</v>
      </c>
      <c r="H97" s="49">
        <v>6.7</v>
      </c>
      <c r="I97" s="49">
        <v>27.6</v>
      </c>
      <c r="J97" s="50" t="s">
        <v>17</v>
      </c>
      <c r="K97" s="206">
        <v>3.22</v>
      </c>
      <c r="L97" s="207"/>
      <c r="M97" s="208">
        <v>0</v>
      </c>
      <c r="N97" s="208">
        <v>0.01</v>
      </c>
      <c r="O97" s="208">
        <v>0</v>
      </c>
      <c r="P97" s="208">
        <v>7.0000000000000007E-2</v>
      </c>
      <c r="Q97" s="208">
        <v>1</v>
      </c>
      <c r="R97" s="208">
        <v>2</v>
      </c>
      <c r="S97" s="208">
        <v>36</v>
      </c>
      <c r="T97" s="208">
        <v>6</v>
      </c>
      <c r="U97" s="208">
        <v>5</v>
      </c>
      <c r="V97" s="208">
        <v>8</v>
      </c>
      <c r="W97" s="208">
        <v>1</v>
      </c>
      <c r="X97" s="208">
        <v>0</v>
      </c>
      <c r="Y97" s="208">
        <v>0</v>
      </c>
    </row>
    <row r="98" spans="1:25" s="19" customFormat="1" ht="22.05" customHeight="1" x14ac:dyDescent="0.3">
      <c r="A98" s="17"/>
      <c r="B98" s="230"/>
      <c r="C98" s="224" t="s">
        <v>191</v>
      </c>
      <c r="D98" s="224"/>
      <c r="E98" s="48">
        <v>15</v>
      </c>
      <c r="F98" s="49">
        <v>1.05</v>
      </c>
      <c r="G98" s="49">
        <v>5.0999999999999996</v>
      </c>
      <c r="H98" s="49">
        <v>7.95</v>
      </c>
      <c r="I98" s="49">
        <v>82.5</v>
      </c>
      <c r="J98" s="48" t="s">
        <v>60</v>
      </c>
      <c r="K98" s="156">
        <v>18</v>
      </c>
      <c r="L98" s="150"/>
      <c r="M98" s="82">
        <v>0.01</v>
      </c>
      <c r="N98" s="82">
        <v>7.0000000000000007E-2</v>
      </c>
      <c r="O98" s="82">
        <v>3.3</v>
      </c>
      <c r="P98" s="82">
        <v>0.39</v>
      </c>
      <c r="Q98" s="82">
        <v>0</v>
      </c>
      <c r="R98" s="82">
        <v>20.399999999999999</v>
      </c>
      <c r="S98" s="82">
        <v>69.3</v>
      </c>
      <c r="T98" s="82">
        <v>52.8</v>
      </c>
      <c r="U98" s="82">
        <v>10.199999999999999</v>
      </c>
      <c r="V98" s="82">
        <v>46.35</v>
      </c>
      <c r="W98" s="82">
        <v>0.23</v>
      </c>
      <c r="X98" s="82">
        <v>0</v>
      </c>
      <c r="Y98" s="82">
        <v>0</v>
      </c>
    </row>
    <row r="99" spans="1:25" s="19" customFormat="1" ht="22.05" customHeight="1" x14ac:dyDescent="0.3">
      <c r="A99" s="17"/>
      <c r="B99" s="65"/>
      <c r="C99" s="272" t="s">
        <v>213</v>
      </c>
      <c r="D99" s="273"/>
      <c r="E99" s="66">
        <f>SUM(E93:E98)</f>
        <v>441</v>
      </c>
      <c r="F99" s="68">
        <f>SUM(F93:F98)</f>
        <v>13.438800000000001</v>
      </c>
      <c r="G99" s="68">
        <f>SUM(G93:G98)</f>
        <v>27.098399999999998</v>
      </c>
      <c r="H99" s="68">
        <f>SUM(H93:H98)</f>
        <v>55.384000000000007</v>
      </c>
      <c r="I99" s="68">
        <f>SUM(I93:I98)</f>
        <v>527.50819999999999</v>
      </c>
      <c r="J99" s="67"/>
      <c r="K99" s="157">
        <f>SUM(K93:K98)</f>
        <v>63.019999999999996</v>
      </c>
      <c r="L99" s="150"/>
      <c r="M99" s="102">
        <f t="shared" ref="M99:Y99" si="16">SUM(M93:M98)</f>
        <v>0.2671</v>
      </c>
      <c r="N99" s="102">
        <f t="shared" si="16"/>
        <v>0.32853333333333334</v>
      </c>
      <c r="O99" s="102">
        <f t="shared" si="16"/>
        <v>128.61000000000001</v>
      </c>
      <c r="P99" s="102">
        <f t="shared" si="16"/>
        <v>2.786</v>
      </c>
      <c r="Q99" s="102">
        <f t="shared" si="16"/>
        <v>1.742</v>
      </c>
      <c r="R99" s="102">
        <f t="shared" si="16"/>
        <v>695.27</v>
      </c>
      <c r="S99" s="102">
        <f t="shared" si="16"/>
        <v>296.33</v>
      </c>
      <c r="T99" s="102">
        <f t="shared" si="16"/>
        <v>312.959</v>
      </c>
      <c r="U99" s="102">
        <f t="shared" si="16"/>
        <v>46.47</v>
      </c>
      <c r="V99" s="102">
        <f t="shared" si="16"/>
        <v>353.1</v>
      </c>
      <c r="W99" s="102">
        <f t="shared" si="16"/>
        <v>5.0660000000000007</v>
      </c>
      <c r="X99" s="102">
        <f t="shared" si="16"/>
        <v>42.09</v>
      </c>
      <c r="Y99" s="102">
        <f t="shared" si="16"/>
        <v>36.808</v>
      </c>
    </row>
    <row r="100" spans="1:25" s="19" customFormat="1" ht="22.05" customHeight="1" x14ac:dyDescent="0.3">
      <c r="A100" s="17"/>
      <c r="B100" s="95"/>
      <c r="C100" s="96"/>
      <c r="D100" s="97"/>
      <c r="E100" s="99"/>
      <c r="F100" s="99"/>
      <c r="G100" s="99"/>
      <c r="H100" s="99"/>
      <c r="I100" s="99"/>
      <c r="J100" s="101"/>
      <c r="K100" s="18"/>
      <c r="L100" s="18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</row>
    <row r="101" spans="1:25" s="19" customFormat="1" ht="22.05" customHeight="1" x14ac:dyDescent="0.3">
      <c r="A101" s="17"/>
      <c r="B101" s="95"/>
      <c r="C101" s="96"/>
      <c r="D101" s="97"/>
      <c r="E101" s="98"/>
      <c r="F101" s="99"/>
      <c r="G101" s="99"/>
      <c r="H101" s="98"/>
      <c r="I101" s="98"/>
      <c r="J101" s="100"/>
      <c r="K101" s="18"/>
      <c r="L101" s="18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</row>
    <row r="102" spans="1:25" s="19" customFormat="1" ht="22.05" customHeight="1" x14ac:dyDescent="0.3">
      <c r="A102" s="17"/>
      <c r="B102" s="225" t="s">
        <v>57</v>
      </c>
      <c r="C102" s="225"/>
      <c r="D102" s="225"/>
      <c r="E102" s="225"/>
      <c r="F102" s="225"/>
      <c r="G102" s="225"/>
      <c r="H102" s="225"/>
      <c r="I102" s="225"/>
      <c r="J102" s="225"/>
      <c r="K102" s="225"/>
      <c r="L102" s="18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85"/>
      <c r="X102" s="285"/>
      <c r="Y102" s="285"/>
    </row>
    <row r="103" spans="1:25" s="19" customFormat="1" ht="22.05" customHeight="1" x14ac:dyDescent="0.3">
      <c r="A103" s="17"/>
      <c r="B103" s="225" t="s">
        <v>70</v>
      </c>
      <c r="C103" s="225" t="s">
        <v>1</v>
      </c>
      <c r="D103" s="225"/>
      <c r="E103" s="225" t="s">
        <v>2</v>
      </c>
      <c r="F103" s="225" t="s">
        <v>3</v>
      </c>
      <c r="G103" s="225"/>
      <c r="H103" s="225"/>
      <c r="I103" s="231" t="s">
        <v>142</v>
      </c>
      <c r="J103" s="225" t="s">
        <v>0</v>
      </c>
      <c r="K103" s="269" t="s">
        <v>180</v>
      </c>
      <c r="L103" s="153"/>
      <c r="M103" s="286" t="s">
        <v>156</v>
      </c>
      <c r="N103" s="287"/>
      <c r="O103" s="287"/>
      <c r="P103" s="287"/>
      <c r="Q103" s="287"/>
      <c r="R103" s="287"/>
      <c r="S103" s="287"/>
      <c r="T103" s="287"/>
      <c r="U103" s="287"/>
      <c r="V103" s="287"/>
      <c r="W103" s="287"/>
      <c r="X103" s="287"/>
      <c r="Y103" s="288"/>
    </row>
    <row r="104" spans="1:25" s="19" customFormat="1" ht="43.8" customHeight="1" x14ac:dyDescent="0.3">
      <c r="A104" s="17"/>
      <c r="B104" s="225"/>
      <c r="C104" s="225"/>
      <c r="D104" s="225"/>
      <c r="E104" s="225"/>
      <c r="F104" s="213" t="s">
        <v>139</v>
      </c>
      <c r="G104" s="213" t="s">
        <v>140</v>
      </c>
      <c r="H104" s="213" t="s">
        <v>141</v>
      </c>
      <c r="I104" s="231"/>
      <c r="J104" s="225"/>
      <c r="K104" s="269"/>
      <c r="L104" s="154"/>
      <c r="M104" s="289" t="s">
        <v>174</v>
      </c>
      <c r="N104" s="290"/>
      <c r="O104" s="290"/>
      <c r="P104" s="290"/>
      <c r="Q104" s="290"/>
      <c r="R104" s="290"/>
      <c r="S104" s="290"/>
      <c r="T104" s="290"/>
      <c r="U104" s="290"/>
      <c r="V104" s="290"/>
      <c r="W104" s="290"/>
      <c r="X104" s="290"/>
      <c r="Y104" s="291"/>
    </row>
    <row r="105" spans="1:25" s="19" customFormat="1" ht="22.05" customHeight="1" x14ac:dyDescent="0.3">
      <c r="A105" s="17"/>
      <c r="B105" s="268" t="s">
        <v>80</v>
      </c>
      <c r="C105" s="268"/>
      <c r="D105" s="268"/>
      <c r="E105" s="268"/>
      <c r="F105" s="268"/>
      <c r="G105" s="268"/>
      <c r="H105" s="268"/>
      <c r="I105" s="268"/>
      <c r="J105" s="268"/>
      <c r="K105" s="268"/>
      <c r="L105" s="155"/>
      <c r="M105" s="111" t="s">
        <v>143</v>
      </c>
      <c r="N105" s="111" t="s">
        <v>144</v>
      </c>
      <c r="O105" s="111" t="s">
        <v>145</v>
      </c>
      <c r="P105" s="111" t="s">
        <v>147</v>
      </c>
      <c r="Q105" s="111" t="s">
        <v>146</v>
      </c>
      <c r="R105" s="111" t="s">
        <v>148</v>
      </c>
      <c r="S105" s="111" t="s">
        <v>149</v>
      </c>
      <c r="T105" s="111" t="s">
        <v>150</v>
      </c>
      <c r="U105" s="111" t="s">
        <v>151</v>
      </c>
      <c r="V105" s="111" t="s">
        <v>152</v>
      </c>
      <c r="W105" s="111" t="s">
        <v>153</v>
      </c>
      <c r="X105" s="111" t="s">
        <v>154</v>
      </c>
      <c r="Y105" s="111" t="s">
        <v>155</v>
      </c>
    </row>
    <row r="106" spans="1:25" s="19" customFormat="1" ht="22.05" customHeight="1" x14ac:dyDescent="0.3">
      <c r="A106" s="17"/>
      <c r="B106" s="230" t="s">
        <v>4</v>
      </c>
      <c r="C106" s="224" t="s">
        <v>138</v>
      </c>
      <c r="D106" s="275"/>
      <c r="E106" s="48">
        <v>224</v>
      </c>
      <c r="F106" s="49">
        <v>15.3</v>
      </c>
      <c r="G106" s="49">
        <v>17.2</v>
      </c>
      <c r="H106" s="49">
        <v>40.5</v>
      </c>
      <c r="I106" s="49">
        <v>381.7</v>
      </c>
      <c r="J106" s="50">
        <v>138</v>
      </c>
      <c r="K106" s="156">
        <v>34.14</v>
      </c>
      <c r="L106" s="150"/>
      <c r="M106" s="82">
        <v>0.09</v>
      </c>
      <c r="N106" s="82">
        <v>0.19</v>
      </c>
      <c r="O106" s="82">
        <v>53.1</v>
      </c>
      <c r="P106" s="82">
        <v>0</v>
      </c>
      <c r="Q106" s="82">
        <v>2.88</v>
      </c>
      <c r="R106" s="82">
        <v>0</v>
      </c>
      <c r="S106" s="82">
        <v>0</v>
      </c>
      <c r="T106" s="82">
        <v>130.91</v>
      </c>
      <c r="U106" s="82">
        <v>43.78</v>
      </c>
      <c r="V106" s="82">
        <v>189.95</v>
      </c>
      <c r="W106" s="82">
        <v>1.49</v>
      </c>
      <c r="X106" s="82">
        <v>0</v>
      </c>
      <c r="Y106" s="82">
        <v>0</v>
      </c>
    </row>
    <row r="107" spans="1:25" s="19" customFormat="1" ht="22.05" customHeight="1" x14ac:dyDescent="0.3">
      <c r="A107" s="17"/>
      <c r="B107" s="230"/>
      <c r="C107" s="224" t="s">
        <v>111</v>
      </c>
      <c r="D107" s="224"/>
      <c r="E107" s="48">
        <v>30</v>
      </c>
      <c r="F107" s="49">
        <f>F16/100*30</f>
        <v>1.044</v>
      </c>
      <c r="G107" s="49">
        <f>G16/100*30</f>
        <v>0.192</v>
      </c>
      <c r="H107" s="49">
        <f>H16/100*30</f>
        <v>6.42</v>
      </c>
      <c r="I107" s="49">
        <f>I16/100*30</f>
        <v>40.266000000000005</v>
      </c>
      <c r="J107" s="50" t="s">
        <v>60</v>
      </c>
      <c r="K107" s="156">
        <v>3.64</v>
      </c>
      <c r="L107" s="150"/>
      <c r="M107" s="82">
        <f t="shared" ref="M107:Y107" si="17">M16/30*30</f>
        <v>0.12300000000000001</v>
      </c>
      <c r="N107" s="82">
        <f t="shared" si="17"/>
        <v>7.5999999999999998E-2</v>
      </c>
      <c r="O107" s="82">
        <f t="shared" si="17"/>
        <v>0</v>
      </c>
      <c r="P107" s="82">
        <f t="shared" si="17"/>
        <v>1.68</v>
      </c>
      <c r="Q107" s="82">
        <f t="shared" si="17"/>
        <v>0.06</v>
      </c>
      <c r="R107" s="82">
        <f t="shared" si="17"/>
        <v>141.9</v>
      </c>
      <c r="S107" s="82">
        <f t="shared" si="17"/>
        <v>37.5</v>
      </c>
      <c r="T107" s="82">
        <f t="shared" si="17"/>
        <v>1.47</v>
      </c>
      <c r="U107" s="82">
        <f t="shared" si="17"/>
        <v>12.3</v>
      </c>
      <c r="V107" s="82">
        <f t="shared" si="17"/>
        <v>38.700000000000003</v>
      </c>
      <c r="W107" s="82">
        <f t="shared" si="17"/>
        <v>1.08</v>
      </c>
      <c r="X107" s="82">
        <f t="shared" si="17"/>
        <v>0</v>
      </c>
      <c r="Y107" s="82">
        <f t="shared" si="17"/>
        <v>8.64</v>
      </c>
    </row>
    <row r="108" spans="1:25" s="19" customFormat="1" ht="22.05" customHeight="1" x14ac:dyDescent="0.3">
      <c r="A108" s="17"/>
      <c r="B108" s="230"/>
      <c r="C108" s="224" t="s">
        <v>23</v>
      </c>
      <c r="D108" s="224"/>
      <c r="E108" s="48">
        <v>200</v>
      </c>
      <c r="F108" s="49">
        <v>0.2</v>
      </c>
      <c r="G108" s="49">
        <v>0</v>
      </c>
      <c r="H108" s="49">
        <v>6.4</v>
      </c>
      <c r="I108" s="49">
        <v>26.4</v>
      </c>
      <c r="J108" s="50" t="s">
        <v>22</v>
      </c>
      <c r="K108" s="156">
        <v>1.22</v>
      </c>
      <c r="L108" s="150"/>
      <c r="M108" s="82">
        <v>0</v>
      </c>
      <c r="N108" s="82">
        <v>0</v>
      </c>
      <c r="O108" s="82">
        <v>0</v>
      </c>
      <c r="P108" s="82">
        <v>0.1</v>
      </c>
      <c r="Q108" s="82">
        <v>0</v>
      </c>
      <c r="R108" s="82">
        <v>1</v>
      </c>
      <c r="S108" s="82">
        <v>25</v>
      </c>
      <c r="T108" s="82">
        <v>4</v>
      </c>
      <c r="U108" s="82">
        <v>4</v>
      </c>
      <c r="V108" s="82">
        <v>7</v>
      </c>
      <c r="W108" s="82">
        <v>1</v>
      </c>
      <c r="X108" s="82">
        <v>0</v>
      </c>
      <c r="Y108" s="82">
        <v>0</v>
      </c>
    </row>
    <row r="109" spans="1:25" s="47" customFormat="1" ht="22.05" customHeight="1" x14ac:dyDescent="0.3">
      <c r="A109" s="46"/>
      <c r="B109" s="230"/>
      <c r="C109" s="233" t="s">
        <v>41</v>
      </c>
      <c r="D109" s="234"/>
      <c r="E109" s="51">
        <v>200</v>
      </c>
      <c r="F109" s="52">
        <v>0.41</v>
      </c>
      <c r="G109" s="52">
        <v>0</v>
      </c>
      <c r="H109" s="52">
        <v>22.59</v>
      </c>
      <c r="I109" s="52">
        <v>92</v>
      </c>
      <c r="J109" s="53" t="s">
        <v>60</v>
      </c>
      <c r="K109" s="134">
        <v>36</v>
      </c>
      <c r="L109" s="134"/>
      <c r="M109" s="122">
        <v>0.02</v>
      </c>
      <c r="N109" s="122">
        <v>0.02</v>
      </c>
      <c r="O109" s="122">
        <v>0</v>
      </c>
      <c r="P109" s="122">
        <v>0.04</v>
      </c>
      <c r="Q109" s="122">
        <v>4</v>
      </c>
      <c r="R109" s="122">
        <v>12</v>
      </c>
      <c r="S109" s="122">
        <v>240</v>
      </c>
      <c r="T109" s="122">
        <v>14</v>
      </c>
      <c r="U109" s="122">
        <v>8</v>
      </c>
      <c r="V109" s="122">
        <v>14</v>
      </c>
      <c r="W109" s="122">
        <v>2.8</v>
      </c>
      <c r="X109" s="122">
        <v>2</v>
      </c>
      <c r="Y109" s="122">
        <v>0</v>
      </c>
    </row>
    <row r="110" spans="1:25" s="19" customFormat="1" ht="22.05" customHeight="1" x14ac:dyDescent="0.3">
      <c r="A110" s="17"/>
      <c r="B110" s="44"/>
      <c r="C110" s="228" t="s">
        <v>213</v>
      </c>
      <c r="D110" s="276"/>
      <c r="E110" s="44">
        <f>SUM(E106:E109)</f>
        <v>654</v>
      </c>
      <c r="F110" s="55">
        <f>SUM(F106:F109)</f>
        <v>16.954000000000001</v>
      </c>
      <c r="G110" s="55">
        <f>SUM(G106:G109)</f>
        <v>17.391999999999999</v>
      </c>
      <c r="H110" s="55">
        <f>SUM(H106:H109)</f>
        <v>75.91</v>
      </c>
      <c r="I110" s="55">
        <f>SUM(I106:I109)</f>
        <v>540.36599999999999</v>
      </c>
      <c r="J110" s="44"/>
      <c r="K110" s="157">
        <f>SUM(K106:K109)</f>
        <v>75</v>
      </c>
      <c r="L110" s="150"/>
      <c r="M110" s="102">
        <f t="shared" ref="M110:Y110" si="18">SUM(M106:M109)</f>
        <v>0.23300000000000001</v>
      </c>
      <c r="N110" s="102">
        <f t="shared" si="18"/>
        <v>0.28600000000000003</v>
      </c>
      <c r="O110" s="102">
        <f t="shared" si="18"/>
        <v>53.1</v>
      </c>
      <c r="P110" s="102">
        <f t="shared" si="18"/>
        <v>1.82</v>
      </c>
      <c r="Q110" s="102">
        <f t="shared" si="18"/>
        <v>6.9399999999999995</v>
      </c>
      <c r="R110" s="102">
        <f t="shared" si="18"/>
        <v>154.9</v>
      </c>
      <c r="S110" s="102">
        <f t="shared" si="18"/>
        <v>302.5</v>
      </c>
      <c r="T110" s="102">
        <f t="shared" si="18"/>
        <v>150.38</v>
      </c>
      <c r="U110" s="102">
        <f t="shared" si="18"/>
        <v>68.08</v>
      </c>
      <c r="V110" s="102">
        <f t="shared" si="18"/>
        <v>249.64999999999998</v>
      </c>
      <c r="W110" s="102">
        <f t="shared" si="18"/>
        <v>6.37</v>
      </c>
      <c r="X110" s="102">
        <f t="shared" si="18"/>
        <v>2</v>
      </c>
      <c r="Y110" s="102">
        <f t="shared" si="18"/>
        <v>8.64</v>
      </c>
    </row>
    <row r="111" spans="1:25" s="19" customFormat="1" ht="22.05" customHeight="1" x14ac:dyDescent="0.3">
      <c r="A111" s="17"/>
      <c r="B111" s="89"/>
      <c r="C111" s="39"/>
      <c r="D111" s="70"/>
      <c r="E111" s="89"/>
      <c r="F111" s="89"/>
      <c r="G111" s="89"/>
      <c r="H111" s="89"/>
      <c r="I111" s="89"/>
      <c r="J111" s="89"/>
      <c r="K111" s="18"/>
      <c r="L111" s="18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</row>
    <row r="112" spans="1:25" ht="22.05" customHeight="1" x14ac:dyDescent="0.3">
      <c r="A112" s="12"/>
      <c r="B112" s="15"/>
      <c r="C112" s="15"/>
      <c r="D112" s="15"/>
      <c r="E112" s="15"/>
      <c r="F112" s="15"/>
      <c r="G112" s="15"/>
      <c r="H112" s="15"/>
      <c r="I112" s="15"/>
      <c r="J112" s="15"/>
      <c r="K112" s="5"/>
      <c r="L112" s="5"/>
    </row>
    <row r="113" spans="1:25" s="19" customFormat="1" ht="22.05" customHeight="1" x14ac:dyDescent="0.3">
      <c r="A113" s="17"/>
      <c r="B113" s="225" t="s">
        <v>57</v>
      </c>
      <c r="C113" s="225"/>
      <c r="D113" s="225"/>
      <c r="E113" s="225"/>
      <c r="F113" s="225"/>
      <c r="G113" s="225"/>
      <c r="H113" s="225"/>
      <c r="I113" s="225"/>
      <c r="J113" s="225"/>
      <c r="K113" s="225"/>
      <c r="L113" s="18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5"/>
      <c r="X113" s="285"/>
      <c r="Y113" s="285"/>
    </row>
    <row r="114" spans="1:25" s="19" customFormat="1" ht="22.05" customHeight="1" x14ac:dyDescent="0.3">
      <c r="A114" s="17"/>
      <c r="B114" s="225" t="s">
        <v>70</v>
      </c>
      <c r="C114" s="225" t="s">
        <v>1</v>
      </c>
      <c r="D114" s="225"/>
      <c r="E114" s="225" t="s">
        <v>2</v>
      </c>
      <c r="F114" s="225" t="s">
        <v>3</v>
      </c>
      <c r="G114" s="225"/>
      <c r="H114" s="225"/>
      <c r="I114" s="231" t="s">
        <v>142</v>
      </c>
      <c r="J114" s="225" t="s">
        <v>72</v>
      </c>
      <c r="K114" s="269" t="s">
        <v>180</v>
      </c>
      <c r="L114" s="153"/>
      <c r="M114" s="286" t="s">
        <v>156</v>
      </c>
      <c r="N114" s="287"/>
      <c r="O114" s="287"/>
      <c r="P114" s="287"/>
      <c r="Q114" s="287"/>
      <c r="R114" s="287"/>
      <c r="S114" s="287"/>
      <c r="T114" s="287"/>
      <c r="U114" s="287"/>
      <c r="V114" s="287"/>
      <c r="W114" s="287"/>
      <c r="X114" s="287"/>
      <c r="Y114" s="288"/>
    </row>
    <row r="115" spans="1:25" s="19" customFormat="1" ht="43.8" customHeight="1" x14ac:dyDescent="0.3">
      <c r="A115" s="17"/>
      <c r="B115" s="225"/>
      <c r="C115" s="225"/>
      <c r="D115" s="225"/>
      <c r="E115" s="225"/>
      <c r="F115" s="213" t="s">
        <v>139</v>
      </c>
      <c r="G115" s="213" t="s">
        <v>140</v>
      </c>
      <c r="H115" s="213" t="s">
        <v>141</v>
      </c>
      <c r="I115" s="231"/>
      <c r="J115" s="225"/>
      <c r="K115" s="269"/>
      <c r="L115" s="154"/>
      <c r="M115" s="289" t="s">
        <v>175</v>
      </c>
      <c r="N115" s="290"/>
      <c r="O115" s="290"/>
      <c r="P115" s="290"/>
      <c r="Q115" s="290"/>
      <c r="R115" s="290"/>
      <c r="S115" s="290"/>
      <c r="T115" s="290"/>
      <c r="U115" s="290"/>
      <c r="V115" s="290"/>
      <c r="W115" s="290"/>
      <c r="X115" s="290"/>
      <c r="Y115" s="291"/>
    </row>
    <row r="116" spans="1:25" s="19" customFormat="1" ht="22.05" customHeight="1" x14ac:dyDescent="0.3">
      <c r="A116" s="12"/>
      <c r="B116" s="229" t="s">
        <v>81</v>
      </c>
      <c r="C116" s="229"/>
      <c r="D116" s="229"/>
      <c r="E116" s="229"/>
      <c r="F116" s="229"/>
      <c r="G116" s="229"/>
      <c r="H116" s="229"/>
      <c r="I116" s="229"/>
      <c r="J116" s="229"/>
      <c r="K116" s="229"/>
      <c r="L116" s="141"/>
      <c r="M116" s="111" t="s">
        <v>143</v>
      </c>
      <c r="N116" s="111" t="s">
        <v>144</v>
      </c>
      <c r="O116" s="111" t="s">
        <v>145</v>
      </c>
      <c r="P116" s="111" t="s">
        <v>147</v>
      </c>
      <c r="Q116" s="111" t="s">
        <v>146</v>
      </c>
      <c r="R116" s="111" t="s">
        <v>148</v>
      </c>
      <c r="S116" s="111" t="s">
        <v>149</v>
      </c>
      <c r="T116" s="111" t="s">
        <v>150</v>
      </c>
      <c r="U116" s="111" t="s">
        <v>151</v>
      </c>
      <c r="V116" s="111" t="s">
        <v>152</v>
      </c>
      <c r="W116" s="111" t="s">
        <v>153</v>
      </c>
      <c r="X116" s="111" t="s">
        <v>154</v>
      </c>
      <c r="Y116" s="111" t="s">
        <v>155</v>
      </c>
    </row>
    <row r="117" spans="1:25" s="19" customFormat="1" ht="22.05" customHeight="1" x14ac:dyDescent="0.3">
      <c r="A117" s="17"/>
      <c r="B117" s="230" t="s">
        <v>4</v>
      </c>
      <c r="C117" s="224" t="s">
        <v>162</v>
      </c>
      <c r="D117" s="224"/>
      <c r="E117" s="48">
        <v>170</v>
      </c>
      <c r="F117" s="49">
        <v>4.47</v>
      </c>
      <c r="G117" s="49">
        <v>4.6900000000000004</v>
      </c>
      <c r="H117" s="49">
        <v>15.64</v>
      </c>
      <c r="I117" s="49">
        <v>122.73</v>
      </c>
      <c r="J117" s="50" t="s">
        <v>27</v>
      </c>
      <c r="K117" s="156">
        <v>11.14</v>
      </c>
      <c r="L117" s="150"/>
      <c r="M117" s="82">
        <v>0.04</v>
      </c>
      <c r="N117" s="82">
        <v>0.1</v>
      </c>
      <c r="O117" s="82">
        <v>19.399999999999999</v>
      </c>
      <c r="P117" s="82">
        <v>0.22</v>
      </c>
      <c r="Q117" s="82">
        <v>0.51</v>
      </c>
      <c r="R117" s="82">
        <v>124.27</v>
      </c>
      <c r="S117" s="82">
        <v>175.4</v>
      </c>
      <c r="T117" s="82">
        <v>142.5</v>
      </c>
      <c r="U117" s="82">
        <v>16.489999999999998</v>
      </c>
      <c r="V117" s="82">
        <v>104.89</v>
      </c>
      <c r="W117" s="82">
        <v>0.3</v>
      </c>
      <c r="X117" s="82">
        <v>17.510000000000002</v>
      </c>
      <c r="Y117" s="82">
        <v>2</v>
      </c>
    </row>
    <row r="118" spans="1:25" s="19" customFormat="1" ht="22.05" customHeight="1" x14ac:dyDescent="0.3">
      <c r="B118" s="230"/>
      <c r="C118" s="271" t="s">
        <v>24</v>
      </c>
      <c r="D118" s="271"/>
      <c r="E118" s="64">
        <v>10</v>
      </c>
      <c r="F118" s="58">
        <v>0.1</v>
      </c>
      <c r="G118" s="58">
        <v>8.3000000000000007</v>
      </c>
      <c r="H118" s="58">
        <v>0.1</v>
      </c>
      <c r="I118" s="58">
        <v>74.900000000000006</v>
      </c>
      <c r="J118" s="59" t="s">
        <v>212</v>
      </c>
      <c r="K118" s="210">
        <v>7.4</v>
      </c>
      <c r="L118" s="211"/>
      <c r="M118" s="203">
        <v>0</v>
      </c>
      <c r="N118" s="203">
        <v>0</v>
      </c>
      <c r="O118" s="203">
        <v>50</v>
      </c>
      <c r="P118" s="203">
        <v>0.01</v>
      </c>
      <c r="Q118" s="203">
        <v>0</v>
      </c>
      <c r="R118" s="203">
        <v>7</v>
      </c>
      <c r="S118" s="203">
        <v>2</v>
      </c>
      <c r="T118" s="203">
        <v>2</v>
      </c>
      <c r="U118" s="203">
        <v>0</v>
      </c>
      <c r="V118" s="203">
        <v>2</v>
      </c>
      <c r="W118" s="203">
        <v>0</v>
      </c>
      <c r="X118" s="203">
        <v>0</v>
      </c>
      <c r="Y118" s="203">
        <v>0</v>
      </c>
    </row>
    <row r="119" spans="1:25" s="19" customFormat="1" ht="22.05" customHeight="1" x14ac:dyDescent="0.3">
      <c r="A119" s="17"/>
      <c r="B119" s="230"/>
      <c r="C119" s="224" t="s">
        <v>111</v>
      </c>
      <c r="D119" s="224"/>
      <c r="E119" s="48">
        <v>35</v>
      </c>
      <c r="F119" s="49">
        <f>F16/100*35</f>
        <v>1.218</v>
      </c>
      <c r="G119" s="49">
        <f>G16/100*35</f>
        <v>0.224</v>
      </c>
      <c r="H119" s="49">
        <f>H16/100*35</f>
        <v>7.49</v>
      </c>
      <c r="I119" s="49">
        <f>I16/100*35</f>
        <v>46.977000000000004</v>
      </c>
      <c r="J119" s="48" t="s">
        <v>60</v>
      </c>
      <c r="K119" s="156">
        <v>3.18</v>
      </c>
      <c r="L119" s="150"/>
      <c r="M119" s="82">
        <f t="shared" ref="M119:Y119" si="19">M16/30*35</f>
        <v>0.14350000000000002</v>
      </c>
      <c r="N119" s="82">
        <f t="shared" si="19"/>
        <v>8.8666666666666658E-2</v>
      </c>
      <c r="O119" s="82">
        <f t="shared" si="19"/>
        <v>0</v>
      </c>
      <c r="P119" s="82">
        <f t="shared" si="19"/>
        <v>1.96</v>
      </c>
      <c r="Q119" s="82">
        <f t="shared" si="19"/>
        <v>7.0000000000000007E-2</v>
      </c>
      <c r="R119" s="82">
        <f t="shared" si="19"/>
        <v>165.55</v>
      </c>
      <c r="S119" s="82">
        <f t="shared" si="19"/>
        <v>43.75</v>
      </c>
      <c r="T119" s="82">
        <f t="shared" si="19"/>
        <v>1.7150000000000001</v>
      </c>
      <c r="U119" s="82">
        <f t="shared" si="19"/>
        <v>14.350000000000001</v>
      </c>
      <c r="V119" s="82">
        <f t="shared" si="19"/>
        <v>45.15</v>
      </c>
      <c r="W119" s="82">
        <f t="shared" si="19"/>
        <v>1.2600000000000002</v>
      </c>
      <c r="X119" s="82">
        <f t="shared" si="19"/>
        <v>0</v>
      </c>
      <c r="Y119" s="82">
        <f t="shared" si="19"/>
        <v>10.080000000000002</v>
      </c>
    </row>
    <row r="120" spans="1:25" s="19" customFormat="1" ht="22.05" customHeight="1" x14ac:dyDescent="0.3">
      <c r="A120" s="17"/>
      <c r="B120" s="230"/>
      <c r="C120" s="224" t="s">
        <v>12</v>
      </c>
      <c r="D120" s="224"/>
      <c r="E120" s="48">
        <v>200</v>
      </c>
      <c r="F120" s="49">
        <v>3.5</v>
      </c>
      <c r="G120" s="49">
        <v>3.4</v>
      </c>
      <c r="H120" s="49">
        <v>22.3</v>
      </c>
      <c r="I120" s="49">
        <v>133.4</v>
      </c>
      <c r="J120" s="50" t="s">
        <v>11</v>
      </c>
      <c r="K120" s="156">
        <v>14.55</v>
      </c>
      <c r="L120" s="150"/>
      <c r="M120" s="82">
        <v>0</v>
      </c>
      <c r="N120" s="82">
        <v>0.13</v>
      </c>
      <c r="O120" s="82">
        <v>9.6</v>
      </c>
      <c r="P120" s="82">
        <v>0.12</v>
      </c>
      <c r="Q120" s="82">
        <v>0</v>
      </c>
      <c r="R120" s="82">
        <v>50</v>
      </c>
      <c r="S120" s="82">
        <v>199</v>
      </c>
      <c r="T120" s="82">
        <v>108</v>
      </c>
      <c r="U120" s="82">
        <v>26</v>
      </c>
      <c r="V120" s="82">
        <v>95</v>
      </c>
      <c r="W120" s="82">
        <v>1</v>
      </c>
      <c r="X120" s="82">
        <v>2.7</v>
      </c>
      <c r="Y120" s="82">
        <v>1</v>
      </c>
    </row>
    <row r="121" spans="1:25" s="19" customFormat="1" ht="22.05" customHeight="1" x14ac:dyDescent="0.3">
      <c r="A121" s="17"/>
      <c r="B121" s="230"/>
      <c r="C121" s="224" t="s">
        <v>39</v>
      </c>
      <c r="D121" s="224"/>
      <c r="E121" s="48">
        <v>130</v>
      </c>
      <c r="F121" s="49">
        <v>0.5</v>
      </c>
      <c r="G121" s="49">
        <v>0.5</v>
      </c>
      <c r="H121" s="49">
        <v>12.7</v>
      </c>
      <c r="I121" s="49">
        <v>60.9</v>
      </c>
      <c r="J121" s="50">
        <v>338</v>
      </c>
      <c r="K121" s="156">
        <v>44</v>
      </c>
      <c r="L121" s="150"/>
      <c r="M121" s="82">
        <v>0.05</v>
      </c>
      <c r="N121" s="82">
        <v>0.03</v>
      </c>
      <c r="O121" s="82">
        <v>6.5</v>
      </c>
      <c r="P121" s="82">
        <v>0.49</v>
      </c>
      <c r="Q121" s="82">
        <v>13</v>
      </c>
      <c r="R121" s="82">
        <v>33.799999999999997</v>
      </c>
      <c r="S121" s="82">
        <v>361.4</v>
      </c>
      <c r="T121" s="82">
        <v>20.8</v>
      </c>
      <c r="U121" s="82">
        <v>11.7</v>
      </c>
      <c r="V121" s="82">
        <v>14.3</v>
      </c>
      <c r="W121" s="82">
        <v>2.86</v>
      </c>
      <c r="X121" s="82">
        <v>2.6</v>
      </c>
      <c r="Y121" s="82">
        <v>0.39</v>
      </c>
    </row>
    <row r="122" spans="1:25" s="19" customFormat="1" ht="22.05" customHeight="1" x14ac:dyDescent="0.3">
      <c r="A122" s="17"/>
      <c r="B122" s="65"/>
      <c r="C122" s="272" t="s">
        <v>213</v>
      </c>
      <c r="D122" s="273"/>
      <c r="E122" s="66">
        <f>SUM(E117:E121)</f>
        <v>545</v>
      </c>
      <c r="F122" s="68">
        <f>SUM(F117:F121)</f>
        <v>9.7880000000000003</v>
      </c>
      <c r="G122" s="68">
        <f>SUM(G117:G121)</f>
        <v>17.114000000000001</v>
      </c>
      <c r="H122" s="68">
        <f>SUM(H117:H121)</f>
        <v>58.230000000000004</v>
      </c>
      <c r="I122" s="68">
        <f>SUM(I117:I121)</f>
        <v>438.90699999999998</v>
      </c>
      <c r="J122" s="67"/>
      <c r="K122" s="157">
        <f>SUM(K117:K121)</f>
        <v>80.27</v>
      </c>
      <c r="L122" s="150"/>
      <c r="M122" s="102">
        <f t="shared" ref="M122:Y122" si="20">SUM(M117:M121)</f>
        <v>0.23350000000000004</v>
      </c>
      <c r="N122" s="102">
        <f t="shared" si="20"/>
        <v>0.34866666666666668</v>
      </c>
      <c r="O122" s="102">
        <f t="shared" si="20"/>
        <v>85.5</v>
      </c>
      <c r="P122" s="102">
        <f t="shared" si="20"/>
        <v>2.8</v>
      </c>
      <c r="Q122" s="102">
        <f t="shared" si="20"/>
        <v>13.58</v>
      </c>
      <c r="R122" s="102">
        <f t="shared" si="20"/>
        <v>380.62</v>
      </c>
      <c r="S122" s="102">
        <f t="shared" si="20"/>
        <v>781.55</v>
      </c>
      <c r="T122" s="102">
        <f t="shared" si="20"/>
        <v>275.01499999999999</v>
      </c>
      <c r="U122" s="102">
        <f t="shared" si="20"/>
        <v>68.540000000000006</v>
      </c>
      <c r="V122" s="102">
        <f t="shared" si="20"/>
        <v>261.33999999999997</v>
      </c>
      <c r="W122" s="102">
        <f t="shared" si="20"/>
        <v>5.42</v>
      </c>
      <c r="X122" s="102">
        <f t="shared" si="20"/>
        <v>22.810000000000002</v>
      </c>
      <c r="Y122" s="102">
        <f t="shared" si="20"/>
        <v>13.470000000000002</v>
      </c>
    </row>
    <row r="123" spans="1:25" s="202" customFormat="1" ht="22.05" customHeight="1" x14ac:dyDescent="0.3">
      <c r="A123" s="189"/>
      <c r="B123" s="209"/>
      <c r="C123" s="277" t="s">
        <v>39</v>
      </c>
      <c r="D123" s="277"/>
      <c r="E123" s="196">
        <v>200</v>
      </c>
      <c r="F123" s="197">
        <v>0.8</v>
      </c>
      <c r="G123" s="197">
        <v>0.8</v>
      </c>
      <c r="H123" s="197">
        <v>19.600000000000001</v>
      </c>
      <c r="I123" s="197">
        <v>93.73</v>
      </c>
      <c r="J123" s="198">
        <v>338</v>
      </c>
      <c r="K123" s="199">
        <v>44</v>
      </c>
      <c r="L123" s="200"/>
      <c r="M123" s="201">
        <v>7.0000000000000007E-2</v>
      </c>
      <c r="N123" s="201">
        <v>0.04</v>
      </c>
      <c r="O123" s="201">
        <v>10</v>
      </c>
      <c r="P123" s="201">
        <v>0.76</v>
      </c>
      <c r="Q123" s="201">
        <v>20</v>
      </c>
      <c r="R123" s="201">
        <v>52</v>
      </c>
      <c r="S123" s="201">
        <v>556</v>
      </c>
      <c r="T123" s="201">
        <v>32</v>
      </c>
      <c r="U123" s="201">
        <v>18</v>
      </c>
      <c r="V123" s="201">
        <v>22</v>
      </c>
      <c r="W123" s="201">
        <v>4.4000000000000004</v>
      </c>
      <c r="X123" s="201">
        <v>4</v>
      </c>
      <c r="Y123" s="201">
        <v>0.6</v>
      </c>
    </row>
    <row r="124" spans="1:25" ht="22.05" customHeight="1" x14ac:dyDescent="0.3">
      <c r="A124" s="12"/>
      <c r="B124" s="35"/>
      <c r="C124" s="60"/>
      <c r="D124" s="60"/>
      <c r="E124" s="14"/>
      <c r="F124" s="36"/>
      <c r="G124" s="36"/>
      <c r="H124" s="36"/>
      <c r="I124" s="36"/>
      <c r="J124" s="14"/>
      <c r="K124" s="5"/>
      <c r="L124" s="5"/>
    </row>
    <row r="125" spans="1:25" s="19" customFormat="1" ht="21.6" customHeight="1" x14ac:dyDescent="0.3">
      <c r="A125" s="12"/>
      <c r="B125" s="35"/>
      <c r="C125" s="60"/>
      <c r="D125" s="60"/>
      <c r="E125" s="14"/>
      <c r="F125" s="14"/>
      <c r="G125" s="14"/>
      <c r="H125" s="14"/>
      <c r="I125" s="14"/>
      <c r="J125" s="14"/>
      <c r="K125" s="18"/>
      <c r="L125" s="18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</row>
    <row r="126" spans="1:25" s="19" customFormat="1" ht="22.05" customHeight="1" x14ac:dyDescent="0.3">
      <c r="A126" s="17"/>
      <c r="B126" s="279" t="s">
        <v>57</v>
      </c>
      <c r="C126" s="279"/>
      <c r="D126" s="279"/>
      <c r="E126" s="279"/>
      <c r="F126" s="279"/>
      <c r="G126" s="279"/>
      <c r="H126" s="279"/>
      <c r="I126" s="279"/>
      <c r="J126" s="279"/>
      <c r="K126" s="279"/>
      <c r="L126" s="16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</row>
    <row r="127" spans="1:25" s="19" customFormat="1" ht="22.05" customHeight="1" x14ac:dyDescent="0.3">
      <c r="A127" s="17"/>
      <c r="B127" s="279" t="s">
        <v>70</v>
      </c>
      <c r="C127" s="279" t="s">
        <v>1</v>
      </c>
      <c r="D127" s="279"/>
      <c r="E127" s="279" t="s">
        <v>2</v>
      </c>
      <c r="F127" s="279" t="s">
        <v>3</v>
      </c>
      <c r="G127" s="279"/>
      <c r="H127" s="279"/>
      <c r="I127" s="280" t="s">
        <v>142</v>
      </c>
      <c r="J127" s="279" t="s">
        <v>0</v>
      </c>
      <c r="K127" s="282" t="s">
        <v>180</v>
      </c>
      <c r="L127" s="164"/>
      <c r="M127" s="286" t="s">
        <v>156</v>
      </c>
      <c r="N127" s="287"/>
      <c r="O127" s="287"/>
      <c r="P127" s="287"/>
      <c r="Q127" s="287"/>
      <c r="R127" s="287"/>
      <c r="S127" s="287"/>
      <c r="T127" s="287"/>
      <c r="U127" s="287"/>
      <c r="V127" s="287"/>
      <c r="W127" s="287"/>
      <c r="X127" s="287"/>
      <c r="Y127" s="288"/>
    </row>
    <row r="128" spans="1:25" s="19" customFormat="1" ht="42.6" customHeight="1" x14ac:dyDescent="0.3">
      <c r="A128" s="17"/>
      <c r="B128" s="279"/>
      <c r="C128" s="279"/>
      <c r="D128" s="279"/>
      <c r="E128" s="279"/>
      <c r="F128" s="215" t="s">
        <v>139</v>
      </c>
      <c r="G128" s="215" t="s">
        <v>140</v>
      </c>
      <c r="H128" s="215" t="s">
        <v>141</v>
      </c>
      <c r="I128" s="280"/>
      <c r="J128" s="279"/>
      <c r="K128" s="282"/>
      <c r="L128" s="165"/>
      <c r="M128" s="289" t="s">
        <v>176</v>
      </c>
      <c r="N128" s="290"/>
      <c r="O128" s="290"/>
      <c r="P128" s="290"/>
      <c r="Q128" s="290"/>
      <c r="R128" s="290"/>
      <c r="S128" s="290"/>
      <c r="T128" s="290"/>
      <c r="U128" s="290"/>
      <c r="V128" s="290"/>
      <c r="W128" s="290"/>
      <c r="X128" s="290"/>
      <c r="Y128" s="291"/>
    </row>
    <row r="129" spans="1:25" s="19" customFormat="1" ht="22.05" customHeight="1" x14ac:dyDescent="0.3">
      <c r="A129" s="17"/>
      <c r="B129" s="268" t="s">
        <v>84</v>
      </c>
      <c r="C129" s="268"/>
      <c r="D129" s="268"/>
      <c r="E129" s="268"/>
      <c r="F129" s="268"/>
      <c r="G129" s="268"/>
      <c r="H129" s="268"/>
      <c r="I129" s="268"/>
      <c r="J129" s="268"/>
      <c r="K129" s="268"/>
      <c r="L129" s="166"/>
      <c r="M129" s="167" t="s">
        <v>143</v>
      </c>
      <c r="N129" s="167" t="s">
        <v>144</v>
      </c>
      <c r="O129" s="167" t="s">
        <v>145</v>
      </c>
      <c r="P129" s="167" t="s">
        <v>147</v>
      </c>
      <c r="Q129" s="167" t="s">
        <v>146</v>
      </c>
      <c r="R129" s="167" t="s">
        <v>148</v>
      </c>
      <c r="S129" s="167" t="s">
        <v>149</v>
      </c>
      <c r="T129" s="167" t="s">
        <v>150</v>
      </c>
      <c r="U129" s="167" t="s">
        <v>151</v>
      </c>
      <c r="V129" s="167" t="s">
        <v>152</v>
      </c>
      <c r="W129" s="167" t="s">
        <v>153</v>
      </c>
      <c r="X129" s="167" t="s">
        <v>154</v>
      </c>
      <c r="Y129" s="167" t="s">
        <v>155</v>
      </c>
    </row>
    <row r="130" spans="1:25" s="19" customFormat="1" ht="22.05" customHeight="1" x14ac:dyDescent="0.3">
      <c r="A130" s="17"/>
      <c r="B130" s="270" t="s">
        <v>91</v>
      </c>
      <c r="C130" s="267" t="s">
        <v>44</v>
      </c>
      <c r="D130" s="274"/>
      <c r="E130" s="48">
        <v>205</v>
      </c>
      <c r="F130" s="168">
        <v>5</v>
      </c>
      <c r="G130" s="168">
        <v>8.1999999999999993</v>
      </c>
      <c r="H130" s="168">
        <v>30.3</v>
      </c>
      <c r="I130" s="168">
        <v>215.2</v>
      </c>
      <c r="J130" s="222">
        <v>121</v>
      </c>
      <c r="K130" s="169">
        <v>20.12</v>
      </c>
      <c r="L130" s="170"/>
      <c r="M130" s="203">
        <v>0.05</v>
      </c>
      <c r="N130" s="203">
        <v>0.14000000000000001</v>
      </c>
      <c r="O130" s="203">
        <v>63.06</v>
      </c>
      <c r="P130" s="203">
        <v>0</v>
      </c>
      <c r="Q130" s="203">
        <v>0.22</v>
      </c>
      <c r="R130" s="203">
        <v>0</v>
      </c>
      <c r="S130" s="203">
        <v>0</v>
      </c>
      <c r="T130" s="203">
        <v>122.01</v>
      </c>
      <c r="U130" s="203">
        <v>27.14</v>
      </c>
      <c r="V130" s="203">
        <v>122.72</v>
      </c>
      <c r="W130" s="203">
        <v>0.42</v>
      </c>
      <c r="X130" s="203">
        <v>0</v>
      </c>
      <c r="Y130" s="203">
        <v>0</v>
      </c>
    </row>
    <row r="131" spans="1:25" s="19" customFormat="1" ht="24" customHeight="1" x14ac:dyDescent="0.3">
      <c r="A131" s="17"/>
      <c r="B131" s="270"/>
      <c r="C131" s="224" t="s">
        <v>16</v>
      </c>
      <c r="D131" s="224"/>
      <c r="E131" s="48">
        <v>15</v>
      </c>
      <c r="F131" s="49">
        <v>3.51</v>
      </c>
      <c r="G131" s="49">
        <v>4.5</v>
      </c>
      <c r="H131" s="49">
        <v>0</v>
      </c>
      <c r="I131" s="49">
        <v>54.5</v>
      </c>
      <c r="J131" s="50" t="s">
        <v>15</v>
      </c>
      <c r="K131" s="156">
        <v>10.97</v>
      </c>
      <c r="L131" s="150"/>
      <c r="M131" s="203">
        <v>0.01</v>
      </c>
      <c r="N131" s="203">
        <v>0.04</v>
      </c>
      <c r="O131" s="203">
        <v>39</v>
      </c>
      <c r="P131" s="203">
        <v>0.04</v>
      </c>
      <c r="Q131" s="203">
        <v>0</v>
      </c>
      <c r="R131" s="203">
        <v>150</v>
      </c>
      <c r="S131" s="203">
        <v>17</v>
      </c>
      <c r="T131" s="203">
        <v>150</v>
      </c>
      <c r="U131" s="203">
        <v>7</v>
      </c>
      <c r="V131" s="203">
        <v>82</v>
      </c>
      <c r="W131" s="203">
        <v>0</v>
      </c>
      <c r="X131" s="203">
        <v>0</v>
      </c>
      <c r="Y131" s="203">
        <v>0</v>
      </c>
    </row>
    <row r="132" spans="1:25" s="45" customFormat="1" ht="22.05" customHeight="1" x14ac:dyDescent="0.3">
      <c r="A132" s="20"/>
      <c r="B132" s="270"/>
      <c r="C132" s="224" t="s">
        <v>111</v>
      </c>
      <c r="D132" s="224"/>
      <c r="E132" s="48">
        <v>30</v>
      </c>
      <c r="F132" s="49">
        <f t="shared" ref="F132:I133" si="21">F16/100*30</f>
        <v>1.044</v>
      </c>
      <c r="G132" s="49">
        <f t="shared" si="21"/>
        <v>0.192</v>
      </c>
      <c r="H132" s="49">
        <f t="shared" si="21"/>
        <v>6.42</v>
      </c>
      <c r="I132" s="49">
        <f t="shared" si="21"/>
        <v>40.266000000000005</v>
      </c>
      <c r="J132" s="48" t="s">
        <v>60</v>
      </c>
      <c r="K132" s="133">
        <v>4.09</v>
      </c>
      <c r="L132" s="133"/>
      <c r="M132" s="203">
        <f>M16</f>
        <v>0.123</v>
      </c>
      <c r="N132" s="203">
        <f t="shared" ref="N132:Y132" si="22">N16</f>
        <v>7.5999999999999998E-2</v>
      </c>
      <c r="O132" s="203">
        <f t="shared" si="22"/>
        <v>0</v>
      </c>
      <c r="P132" s="203">
        <f t="shared" si="22"/>
        <v>1.68</v>
      </c>
      <c r="Q132" s="203">
        <f t="shared" si="22"/>
        <v>0.06</v>
      </c>
      <c r="R132" s="203">
        <f t="shared" si="22"/>
        <v>141.9</v>
      </c>
      <c r="S132" s="203">
        <f t="shared" si="22"/>
        <v>37.5</v>
      </c>
      <c r="T132" s="203">
        <f t="shared" si="22"/>
        <v>1.47</v>
      </c>
      <c r="U132" s="203">
        <f t="shared" si="22"/>
        <v>12.3</v>
      </c>
      <c r="V132" s="203">
        <f t="shared" si="22"/>
        <v>38.700000000000003</v>
      </c>
      <c r="W132" s="203">
        <f t="shared" si="22"/>
        <v>1.08</v>
      </c>
      <c r="X132" s="203">
        <f t="shared" si="22"/>
        <v>0</v>
      </c>
      <c r="Y132" s="203">
        <f t="shared" si="22"/>
        <v>8.64</v>
      </c>
    </row>
    <row r="133" spans="1:25" s="45" customFormat="1" ht="22.05" customHeight="1" x14ac:dyDescent="0.3">
      <c r="A133" s="20"/>
      <c r="B133" s="270"/>
      <c r="C133" s="224" t="s">
        <v>115</v>
      </c>
      <c r="D133" s="224"/>
      <c r="E133" s="48">
        <v>30</v>
      </c>
      <c r="F133" s="49">
        <f t="shared" si="21"/>
        <v>0.56999999999999995</v>
      </c>
      <c r="G133" s="49">
        <f t="shared" si="21"/>
        <v>0.13500000000000001</v>
      </c>
      <c r="H133" s="49">
        <f t="shared" si="21"/>
        <v>7.5</v>
      </c>
      <c r="I133" s="49">
        <f t="shared" si="21"/>
        <v>37.119</v>
      </c>
      <c r="J133" s="48" t="s">
        <v>60</v>
      </c>
      <c r="K133" s="133">
        <v>2.64</v>
      </c>
      <c r="L133" s="133"/>
      <c r="M133" s="82">
        <f>M17</f>
        <v>0.13</v>
      </c>
      <c r="N133" s="82">
        <f t="shared" ref="N133:Y133" si="23">N17</f>
        <v>0.1</v>
      </c>
      <c r="O133" s="82">
        <f t="shared" si="23"/>
        <v>0</v>
      </c>
      <c r="P133" s="82">
        <f t="shared" si="23"/>
        <v>1.1399999999999999</v>
      </c>
      <c r="Q133" s="82">
        <f t="shared" si="23"/>
        <v>0.12</v>
      </c>
      <c r="R133" s="82">
        <f t="shared" si="23"/>
        <v>180.9</v>
      </c>
      <c r="S133" s="82">
        <f t="shared" si="23"/>
        <v>21.9</v>
      </c>
      <c r="T133" s="82">
        <f t="shared" si="23"/>
        <v>0.36</v>
      </c>
      <c r="U133" s="82">
        <f t="shared" si="23"/>
        <v>12</v>
      </c>
      <c r="V133" s="82">
        <f t="shared" si="23"/>
        <v>37.5</v>
      </c>
      <c r="W133" s="82">
        <f t="shared" si="23"/>
        <v>0.85</v>
      </c>
      <c r="X133" s="82">
        <f t="shared" si="23"/>
        <v>0</v>
      </c>
      <c r="Y133" s="82">
        <f t="shared" si="23"/>
        <v>9.27</v>
      </c>
    </row>
    <row r="134" spans="1:25" s="19" customFormat="1" ht="22.05" customHeight="1" x14ac:dyDescent="0.3">
      <c r="A134" s="17"/>
      <c r="B134" s="270"/>
      <c r="C134" s="224" t="s">
        <v>8</v>
      </c>
      <c r="D134" s="224"/>
      <c r="E134" s="48">
        <v>200</v>
      </c>
      <c r="F134" s="49">
        <v>3.8</v>
      </c>
      <c r="G134" s="49">
        <v>3.5</v>
      </c>
      <c r="H134" s="49">
        <v>11.1</v>
      </c>
      <c r="I134" s="49">
        <v>90.8</v>
      </c>
      <c r="J134" s="50" t="s">
        <v>7</v>
      </c>
      <c r="K134" s="156">
        <v>12.47</v>
      </c>
      <c r="L134" s="150"/>
      <c r="M134" s="203">
        <v>0.02</v>
      </c>
      <c r="N134" s="203">
        <v>0.11</v>
      </c>
      <c r="O134" s="203">
        <v>12</v>
      </c>
      <c r="P134" s="203">
        <v>0.2</v>
      </c>
      <c r="Q134" s="203">
        <v>0</v>
      </c>
      <c r="R134" s="203">
        <v>51</v>
      </c>
      <c r="S134" s="203">
        <v>221</v>
      </c>
      <c r="T134" s="203">
        <v>112</v>
      </c>
      <c r="U134" s="203">
        <v>30</v>
      </c>
      <c r="V134" s="203">
        <v>107</v>
      </c>
      <c r="W134" s="203">
        <v>1</v>
      </c>
      <c r="X134" s="203">
        <v>9</v>
      </c>
      <c r="Y134" s="203">
        <v>1.8</v>
      </c>
    </row>
    <row r="135" spans="1:25" s="47" customFormat="1" ht="22.05" customHeight="1" x14ac:dyDescent="0.3">
      <c r="A135" s="46"/>
      <c r="B135" s="270"/>
      <c r="C135" s="265" t="s">
        <v>192</v>
      </c>
      <c r="D135" s="266"/>
      <c r="E135" s="51">
        <v>35</v>
      </c>
      <c r="F135" s="171">
        <v>2.2400000000000002</v>
      </c>
      <c r="G135" s="171">
        <v>12.110000000000001</v>
      </c>
      <c r="H135" s="171">
        <v>19.110000000000003</v>
      </c>
      <c r="I135" s="171">
        <v>191.45</v>
      </c>
      <c r="J135" s="172" t="s">
        <v>60</v>
      </c>
      <c r="K135" s="173">
        <v>30</v>
      </c>
      <c r="L135" s="174"/>
      <c r="M135" s="204">
        <v>7.0000000000000001E-3</v>
      </c>
      <c r="N135" s="204">
        <v>2.0999999999999998E-2</v>
      </c>
      <c r="O135" s="204">
        <v>0</v>
      </c>
      <c r="P135" s="204">
        <v>0.105</v>
      </c>
      <c r="Q135" s="204">
        <v>0</v>
      </c>
      <c r="R135" s="204">
        <v>3.85</v>
      </c>
      <c r="S135" s="204">
        <v>102.55000000000001</v>
      </c>
      <c r="T135" s="204">
        <v>1.75</v>
      </c>
      <c r="U135" s="204">
        <v>3.5</v>
      </c>
      <c r="V135" s="204">
        <v>27.3</v>
      </c>
      <c r="W135" s="204">
        <v>0.48999999999999994</v>
      </c>
      <c r="X135" s="204">
        <v>0</v>
      </c>
      <c r="Y135" s="204">
        <v>0</v>
      </c>
    </row>
    <row r="136" spans="1:25" s="19" customFormat="1" ht="22.05" customHeight="1" x14ac:dyDescent="0.3">
      <c r="A136" s="17"/>
      <c r="B136" s="175"/>
      <c r="C136" s="281" t="s">
        <v>213</v>
      </c>
      <c r="D136" s="281"/>
      <c r="E136" s="175">
        <f>SUM(E130:E135)</f>
        <v>515</v>
      </c>
      <c r="F136" s="176">
        <f>SUM(F130:F135)</f>
        <v>16.164000000000001</v>
      </c>
      <c r="G136" s="176">
        <f>SUM(G130:G135)</f>
        <v>28.637</v>
      </c>
      <c r="H136" s="176">
        <f>SUM(H130:H135)</f>
        <v>74.430000000000007</v>
      </c>
      <c r="I136" s="176">
        <f>SUM(I130:I135)</f>
        <v>629.33500000000004</v>
      </c>
      <c r="J136" s="175"/>
      <c r="K136" s="177">
        <f>SUM(K130:K135)</f>
        <v>80.290000000000006</v>
      </c>
      <c r="L136" s="170"/>
      <c r="M136" s="221">
        <f t="shared" ref="M136:Y136" si="24">SUM(M130:M135)</f>
        <v>0.34</v>
      </c>
      <c r="N136" s="221">
        <f t="shared" si="24"/>
        <v>0.48699999999999999</v>
      </c>
      <c r="O136" s="221">
        <f t="shared" si="24"/>
        <v>114.06</v>
      </c>
      <c r="P136" s="221">
        <f t="shared" si="24"/>
        <v>3.165</v>
      </c>
      <c r="Q136" s="221">
        <f t="shared" si="24"/>
        <v>0.4</v>
      </c>
      <c r="R136" s="221">
        <f t="shared" si="24"/>
        <v>527.65</v>
      </c>
      <c r="S136" s="221">
        <f t="shared" si="24"/>
        <v>399.95</v>
      </c>
      <c r="T136" s="221">
        <f t="shared" si="24"/>
        <v>387.59000000000003</v>
      </c>
      <c r="U136" s="221">
        <f t="shared" si="24"/>
        <v>91.94</v>
      </c>
      <c r="V136" s="221">
        <f t="shared" si="24"/>
        <v>415.22</v>
      </c>
      <c r="W136" s="221">
        <f t="shared" si="24"/>
        <v>3.84</v>
      </c>
      <c r="X136" s="221">
        <f t="shared" si="24"/>
        <v>9</v>
      </c>
      <c r="Y136" s="221">
        <f t="shared" si="24"/>
        <v>19.71</v>
      </c>
    </row>
    <row r="137" spans="1:25" ht="22.05" customHeight="1" x14ac:dyDescent="0.3">
      <c r="A137" s="12"/>
      <c r="B137" s="35"/>
      <c r="C137" s="247"/>
      <c r="D137" s="247"/>
      <c r="E137" s="36"/>
      <c r="F137" s="36"/>
      <c r="G137" s="36"/>
      <c r="H137" s="36"/>
      <c r="I137" s="36"/>
      <c r="J137" s="15"/>
      <c r="K137" s="5"/>
      <c r="L137" s="5"/>
    </row>
    <row r="138" spans="1:25" s="25" customFormat="1" ht="22.05" customHeight="1" x14ac:dyDescent="0.3">
      <c r="A138" s="12"/>
      <c r="B138" s="283" t="s">
        <v>38</v>
      </c>
      <c r="C138" s="283"/>
      <c r="D138" s="283"/>
      <c r="E138" s="283"/>
      <c r="F138" s="283"/>
      <c r="G138" s="283"/>
      <c r="H138" s="283"/>
      <c r="I138" s="283"/>
      <c r="J138" s="13"/>
      <c r="K138" s="5"/>
      <c r="L138" s="5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</row>
    <row r="139" spans="1:25" s="25" customFormat="1" ht="22.05" customHeight="1" x14ac:dyDescent="0.3">
      <c r="A139" s="12"/>
      <c r="B139" s="283"/>
      <c r="C139" s="283"/>
      <c r="D139" s="283"/>
      <c r="E139" s="283"/>
      <c r="F139" s="283"/>
      <c r="G139" s="283"/>
      <c r="H139" s="283"/>
      <c r="I139" s="283"/>
      <c r="J139" s="23"/>
      <c r="K139" s="5"/>
      <c r="L139" s="5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</row>
    <row r="140" spans="1:25" s="25" customFormat="1" ht="22.05" customHeight="1" x14ac:dyDescent="0.3">
      <c r="A140" s="12"/>
      <c r="B140" s="283"/>
      <c r="C140" s="283"/>
      <c r="D140" s="283"/>
      <c r="E140" s="283"/>
      <c r="F140" s="283"/>
      <c r="G140" s="283"/>
      <c r="H140" s="283"/>
      <c r="I140" s="283"/>
      <c r="J140" s="24"/>
      <c r="K140" s="5"/>
      <c r="L140" s="5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</row>
    <row r="141" spans="1:25" s="25" customFormat="1" ht="22.05" customHeight="1" x14ac:dyDescent="0.3">
      <c r="A141" s="1"/>
      <c r="B141" s="238"/>
      <c r="C141" s="238"/>
      <c r="D141" s="238"/>
      <c r="E141" s="238"/>
      <c r="F141" s="238"/>
      <c r="G141" s="238"/>
      <c r="H141" s="238"/>
      <c r="I141" s="238"/>
      <c r="J141" s="28"/>
      <c r="K141" s="5"/>
      <c r="L141" s="5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</row>
    <row r="142" spans="1:25" s="25" customFormat="1" ht="22.05" customHeight="1" x14ac:dyDescent="0.3">
      <c r="A142" s="1"/>
      <c r="B142" s="8"/>
      <c r="C142" s="8"/>
      <c r="D142" s="8"/>
      <c r="E142" s="8"/>
      <c r="F142" s="8"/>
      <c r="G142" s="8"/>
      <c r="H142" s="8"/>
      <c r="I142" s="8"/>
      <c r="J142" s="8"/>
      <c r="K142" s="5"/>
      <c r="L142" s="5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</row>
    <row r="143" spans="1:25" s="25" customFormat="1" ht="22.05" customHeight="1" x14ac:dyDescent="0.3">
      <c r="A143" s="1"/>
      <c r="B143" s="239" t="s">
        <v>54</v>
      </c>
      <c r="C143" s="239"/>
      <c r="D143" s="239"/>
      <c r="E143" s="239"/>
      <c r="F143" s="239"/>
      <c r="G143" s="239"/>
      <c r="H143" s="239"/>
      <c r="I143" s="239"/>
      <c r="J143" s="22">
        <v>1</v>
      </c>
      <c r="K143" s="1"/>
      <c r="L143" s="1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</row>
    <row r="144" spans="1:25" s="25" customFormat="1" ht="22.05" customHeight="1" x14ac:dyDescent="0.3">
      <c r="A144" s="1"/>
      <c r="B144" s="240" t="s">
        <v>42</v>
      </c>
      <c r="C144" s="240"/>
      <c r="D144" s="240"/>
      <c r="E144" s="240"/>
      <c r="F144" s="240"/>
      <c r="G144" s="240"/>
      <c r="H144" s="240"/>
      <c r="I144" s="240"/>
      <c r="J144" s="22">
        <v>2</v>
      </c>
      <c r="K144" s="5"/>
      <c r="L144" s="5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</row>
    <row r="145" spans="1:25" s="25" customFormat="1" ht="22.05" customHeight="1" x14ac:dyDescent="0.3">
      <c r="A145" s="1"/>
      <c r="B145" s="240" t="s">
        <v>43</v>
      </c>
      <c r="C145" s="240"/>
      <c r="D145" s="240"/>
      <c r="E145" s="240"/>
      <c r="F145" s="240"/>
      <c r="G145" s="240"/>
      <c r="H145" s="240"/>
      <c r="I145" s="240"/>
      <c r="J145" s="22">
        <v>3</v>
      </c>
      <c r="K145" s="5"/>
      <c r="L145" s="5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</row>
    <row r="146" spans="1:25" s="25" customFormat="1" ht="22.05" customHeight="1" x14ac:dyDescent="0.3">
      <c r="A146" s="1"/>
      <c r="B146" s="236" t="s">
        <v>45</v>
      </c>
      <c r="C146" s="236"/>
      <c r="D146" s="236"/>
      <c r="E146" s="236"/>
      <c r="F146" s="236"/>
      <c r="G146" s="236"/>
      <c r="H146" s="236"/>
      <c r="I146" s="236"/>
      <c r="J146" s="22">
        <v>4</v>
      </c>
      <c r="K146" s="5"/>
      <c r="L146" s="5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</row>
    <row r="147" spans="1:25" s="25" customFormat="1" ht="22.05" customHeight="1" x14ac:dyDescent="0.3">
      <c r="A147" s="1"/>
      <c r="B147" s="8"/>
      <c r="C147" s="8"/>
      <c r="D147" s="8"/>
      <c r="E147" s="8"/>
      <c r="F147" s="8"/>
      <c r="G147" s="8"/>
      <c r="H147" s="8"/>
      <c r="I147" s="8"/>
      <c r="J147" s="8"/>
      <c r="K147" s="5"/>
      <c r="L147" s="5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</row>
    <row r="148" spans="1:25" s="25" customFormat="1" ht="36.75" customHeight="1" x14ac:dyDescent="0.3">
      <c r="A148" s="9"/>
      <c r="B148" s="8"/>
      <c r="C148" s="8"/>
      <c r="D148" s="8"/>
      <c r="E148" s="8"/>
      <c r="F148" s="8"/>
      <c r="G148" s="8"/>
      <c r="H148" s="8"/>
      <c r="I148" s="8"/>
      <c r="J148" s="8"/>
      <c r="K148" s="5"/>
      <c r="L148" s="5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</row>
    <row r="149" spans="1:25" s="25" customFormat="1" ht="21.75" customHeight="1" x14ac:dyDescent="0.3">
      <c r="A149" s="1"/>
      <c r="B149" s="10"/>
      <c r="C149" s="10"/>
      <c r="D149" s="10"/>
      <c r="E149" s="10"/>
      <c r="F149" s="10"/>
      <c r="G149" s="10"/>
      <c r="H149" s="10"/>
      <c r="I149" s="10"/>
      <c r="J149" s="10"/>
      <c r="K149" s="5"/>
      <c r="L149" s="5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</row>
    <row r="150" spans="1:25" s="25" customFormat="1" ht="22.5" customHeight="1" x14ac:dyDescent="0.3">
      <c r="A150" s="1"/>
      <c r="B150" s="10"/>
      <c r="C150" s="10"/>
      <c r="D150" s="10"/>
      <c r="E150" s="10"/>
      <c r="F150" s="10"/>
      <c r="G150" s="10"/>
      <c r="H150" s="10"/>
      <c r="I150" s="10"/>
      <c r="J150" s="10"/>
      <c r="K150" s="5"/>
      <c r="L150" s="5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</row>
    <row r="151" spans="1:25" s="25" customFormat="1" ht="24.75" customHeight="1" x14ac:dyDescent="0.3">
      <c r="A151" s="1"/>
      <c r="B151" s="10"/>
      <c r="C151" s="10"/>
      <c r="D151" s="10"/>
      <c r="E151" s="10"/>
      <c r="F151" s="10"/>
      <c r="G151" s="10"/>
      <c r="H151" s="10"/>
      <c r="I151" s="10"/>
      <c r="J151" s="10"/>
      <c r="K151" s="5"/>
      <c r="L151" s="5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</row>
    <row r="152" spans="1:25" s="25" customFormat="1" ht="25.5" customHeight="1" x14ac:dyDescent="0.3">
      <c r="A152" s="1"/>
      <c r="B152" s="10"/>
      <c r="C152" s="10"/>
      <c r="D152" s="10"/>
      <c r="E152" s="10"/>
      <c r="F152" s="10"/>
      <c r="G152" s="10"/>
      <c r="H152" s="10"/>
      <c r="I152" s="10"/>
      <c r="J152" s="10"/>
      <c r="K152" s="5"/>
      <c r="L152" s="5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</row>
    <row r="153" spans="1:25" s="25" customFormat="1" ht="21" customHeight="1" x14ac:dyDescent="0.3">
      <c r="A153" s="1"/>
      <c r="B153" s="10"/>
      <c r="C153" s="10"/>
      <c r="D153" s="10"/>
      <c r="E153" s="10"/>
      <c r="F153" s="10"/>
      <c r="G153" s="10"/>
      <c r="H153" s="10"/>
      <c r="I153" s="10"/>
      <c r="J153" s="10"/>
      <c r="K153" s="5"/>
      <c r="L153" s="5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</row>
    <row r="154" spans="1:25" s="25" customFormat="1" ht="43.5" customHeight="1" x14ac:dyDescent="0.3">
      <c r="A154" s="1"/>
      <c r="B154" s="10"/>
      <c r="C154" s="10"/>
      <c r="D154" s="10"/>
      <c r="E154" s="10"/>
      <c r="F154" s="10"/>
      <c r="G154" s="10"/>
      <c r="H154" s="10"/>
      <c r="I154" s="10"/>
      <c r="J154" s="10"/>
      <c r="K154" s="5"/>
      <c r="L154" s="5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</row>
    <row r="155" spans="1:25" s="25" customFormat="1" ht="45.75" customHeight="1" x14ac:dyDescent="0.3">
      <c r="A155" s="1"/>
      <c r="B155" s="10"/>
      <c r="C155" s="10"/>
      <c r="D155" s="10"/>
      <c r="E155" s="10"/>
      <c r="F155" s="10"/>
      <c r="G155" s="10"/>
      <c r="H155" s="10"/>
      <c r="I155" s="10"/>
      <c r="J155" s="10"/>
      <c r="K155" s="5"/>
      <c r="L155" s="5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</row>
    <row r="156" spans="1:25" s="25" customFormat="1" ht="61.5" customHeight="1" x14ac:dyDescent="0.3">
      <c r="A156" s="1"/>
      <c r="B156" s="10"/>
      <c r="C156" s="10"/>
      <c r="D156" s="10"/>
      <c r="E156" s="10"/>
      <c r="F156" s="10"/>
      <c r="G156" s="10"/>
      <c r="H156" s="10"/>
      <c r="I156" s="10"/>
      <c r="J156" s="10"/>
      <c r="K156" s="5"/>
      <c r="L156" s="5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</row>
    <row r="157" spans="1:25" s="25" customFormat="1" ht="30.75" customHeight="1" x14ac:dyDescent="0.3">
      <c r="A157" s="1"/>
      <c r="B157" s="10"/>
      <c r="C157" s="10"/>
      <c r="D157" s="10"/>
      <c r="E157" s="10"/>
      <c r="F157" s="10"/>
      <c r="G157" s="10"/>
      <c r="H157" s="10"/>
      <c r="I157" s="10"/>
      <c r="J157" s="10"/>
      <c r="K157" s="5"/>
      <c r="L157" s="5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</row>
    <row r="158" spans="1:25" s="25" customFormat="1" ht="51" customHeight="1" x14ac:dyDescent="0.3">
      <c r="A158" s="1"/>
      <c r="B158" s="10"/>
      <c r="C158" s="10"/>
      <c r="D158" s="10"/>
      <c r="E158" s="10"/>
      <c r="F158" s="10"/>
      <c r="G158" s="10"/>
      <c r="H158" s="10"/>
      <c r="I158" s="10"/>
      <c r="J158" s="10"/>
      <c r="K158" s="5"/>
      <c r="L158" s="5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</row>
    <row r="159" spans="1:25" s="25" customFormat="1" ht="67.5" customHeight="1" x14ac:dyDescent="0.3">
      <c r="A159" s="7"/>
      <c r="B159" s="10"/>
      <c r="C159" s="10"/>
      <c r="D159" s="10"/>
      <c r="E159" s="10"/>
      <c r="F159" s="10"/>
      <c r="G159" s="10"/>
      <c r="H159" s="10"/>
      <c r="I159" s="10"/>
      <c r="J159" s="10"/>
      <c r="K159" s="5"/>
      <c r="L159" s="5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</row>
    <row r="160" spans="1:25" s="25" customFormat="1" ht="17.399999999999999" x14ac:dyDescent="0.3">
      <c r="A160" s="7"/>
      <c r="B160" s="10"/>
      <c r="C160" s="10"/>
      <c r="D160" s="10"/>
      <c r="E160" s="10"/>
      <c r="F160" s="10"/>
      <c r="G160" s="10"/>
      <c r="H160" s="10"/>
      <c r="I160" s="10"/>
      <c r="J160" s="10"/>
      <c r="K160" s="5"/>
      <c r="L160" s="5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</row>
    <row r="161" spans="1:25" s="25" customFormat="1" ht="14.4" x14ac:dyDescent="0.3">
      <c r="A161" s="7"/>
      <c r="B161" s="1"/>
      <c r="C161" s="1"/>
      <c r="D161" s="1"/>
      <c r="E161" s="1"/>
      <c r="F161" s="1"/>
      <c r="G161" s="1"/>
      <c r="H161" s="1"/>
      <c r="I161" s="1"/>
      <c r="J161" s="1"/>
      <c r="K161" s="5"/>
      <c r="L161" s="5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</row>
    <row r="162" spans="1:25" s="25" customFormat="1" ht="14.4" x14ac:dyDescent="0.3">
      <c r="A162" s="7"/>
      <c r="B162" s="1"/>
      <c r="C162" s="1"/>
      <c r="D162" s="1"/>
      <c r="E162" s="1"/>
      <c r="F162" s="1"/>
      <c r="G162" s="1"/>
      <c r="H162" s="1"/>
      <c r="I162" s="1"/>
      <c r="J162" s="1"/>
      <c r="K162" s="5"/>
      <c r="L162" s="5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</row>
    <row r="163" spans="1:25" s="25" customFormat="1" ht="14.4" x14ac:dyDescent="0.3">
      <c r="A163" s="7"/>
      <c r="B163" s="1"/>
      <c r="C163" s="1"/>
      <c r="D163" s="1"/>
      <c r="E163" s="1"/>
      <c r="F163" s="1"/>
      <c r="G163" s="1"/>
      <c r="H163" s="1"/>
      <c r="I163" s="1"/>
      <c r="J163" s="1"/>
      <c r="K163" s="5"/>
      <c r="L163" s="5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</row>
    <row r="164" spans="1:25" s="25" customFormat="1" ht="14.4" x14ac:dyDescent="0.3">
      <c r="A164" s="7"/>
      <c r="B164" s="1"/>
      <c r="C164" s="1"/>
      <c r="D164" s="1"/>
      <c r="E164" s="1"/>
      <c r="F164" s="1"/>
      <c r="G164" s="1"/>
      <c r="H164" s="1"/>
      <c r="I164" s="1"/>
      <c r="J164" s="1"/>
      <c r="K164" s="5"/>
      <c r="L164" s="5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</row>
    <row r="165" spans="1:25" s="25" customFormat="1" ht="14.4" x14ac:dyDescent="0.3">
      <c r="A165" s="7"/>
      <c r="B165" s="1"/>
      <c r="C165" s="1"/>
      <c r="D165" s="1"/>
      <c r="E165" s="1"/>
      <c r="F165" s="1"/>
      <c r="G165" s="1"/>
      <c r="H165" s="1"/>
      <c r="I165" s="1"/>
      <c r="J165" s="1"/>
      <c r="K165" s="5"/>
      <c r="L165" s="5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</row>
    <row r="166" spans="1:25" s="25" customFormat="1" ht="35.25" customHeight="1" x14ac:dyDescent="0.3">
      <c r="A166" s="7"/>
      <c r="B166" s="1"/>
      <c r="C166" s="1"/>
      <c r="D166" s="1"/>
      <c r="E166" s="1"/>
      <c r="F166" s="1"/>
      <c r="G166" s="1"/>
      <c r="H166" s="1"/>
      <c r="I166" s="1"/>
      <c r="J166" s="1"/>
      <c r="K166" s="5"/>
      <c r="L166" s="5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</row>
    <row r="167" spans="1:25" ht="36.75" customHeight="1" x14ac:dyDescent="0.3">
      <c r="A167" s="7"/>
      <c r="K167" s="5"/>
      <c r="L167" s="5"/>
    </row>
    <row r="168" spans="1:25" ht="63.75" customHeight="1" x14ac:dyDescent="0.3">
      <c r="A168" s="7"/>
      <c r="K168" s="5"/>
      <c r="L168" s="5"/>
    </row>
    <row r="169" spans="1:25" ht="42" customHeight="1" x14ac:dyDescent="0.3">
      <c r="K169" s="5"/>
      <c r="L169" s="5"/>
    </row>
    <row r="170" spans="1:25" s="9" customFormat="1" ht="4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1"/>
      <c r="L170" s="11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</row>
    <row r="171" spans="1:25" ht="36" customHeight="1" x14ac:dyDescent="0.3">
      <c r="K171" s="5"/>
      <c r="L171" s="5"/>
    </row>
    <row r="172" spans="1:25" ht="36" customHeight="1" x14ac:dyDescent="0.3">
      <c r="K172" s="5"/>
      <c r="L172" s="5"/>
    </row>
    <row r="173" spans="1:25" ht="34.5" customHeight="1" x14ac:dyDescent="0.3">
      <c r="K173" s="5"/>
      <c r="L173" s="5"/>
    </row>
    <row r="174" spans="1:25" ht="78.75" customHeight="1" x14ac:dyDescent="0.3">
      <c r="K174" s="5"/>
      <c r="L174" s="5"/>
    </row>
    <row r="175" spans="1:25" ht="59.25" customHeight="1" x14ac:dyDescent="0.3">
      <c r="K175" s="5"/>
      <c r="L175" s="5"/>
    </row>
    <row r="176" spans="1:25" ht="31.5" customHeight="1" x14ac:dyDescent="0.3">
      <c r="K176" s="5"/>
      <c r="L176" s="5"/>
    </row>
    <row r="177" spans="11:25" ht="60" customHeight="1" x14ac:dyDescent="0.3">
      <c r="K177" s="5"/>
      <c r="L177" s="5"/>
    </row>
    <row r="178" spans="11:25" s="1" customFormat="1" ht="47.25" customHeight="1" x14ac:dyDescent="0.3">
      <c r="K178" s="5"/>
      <c r="L178" s="5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</row>
    <row r="179" spans="11:25" ht="50.25" customHeight="1" x14ac:dyDescent="0.3">
      <c r="K179" s="5"/>
      <c r="L179" s="5"/>
    </row>
    <row r="180" spans="11:25" ht="78.75" customHeight="1" x14ac:dyDescent="0.3">
      <c r="K180" s="5"/>
      <c r="L180" s="5"/>
    </row>
    <row r="181" spans="11:25" ht="15.75" customHeight="1" x14ac:dyDescent="0.3">
      <c r="K181" s="5"/>
      <c r="L181" s="5"/>
    </row>
    <row r="182" spans="11:25" ht="44.25" customHeight="1" x14ac:dyDescent="0.3">
      <c r="K182" s="5"/>
      <c r="L182" s="5"/>
    </row>
    <row r="183" spans="11:25" ht="57.75" customHeight="1" x14ac:dyDescent="0.3">
      <c r="K183" s="5"/>
      <c r="L183" s="5"/>
    </row>
    <row r="184" spans="11:25" ht="52.5" customHeight="1" x14ac:dyDescent="0.3">
      <c r="K184" s="5"/>
      <c r="L184" s="5"/>
    </row>
    <row r="185" spans="11:25" ht="63.75" customHeight="1" x14ac:dyDescent="0.3"/>
    <row r="186" spans="11:25" ht="43.5" customHeight="1" x14ac:dyDescent="0.3"/>
    <row r="187" spans="11:25" ht="45.75" customHeight="1" x14ac:dyDescent="0.3"/>
    <row r="188" spans="11:25" ht="43.5" customHeight="1" x14ac:dyDescent="0.3"/>
    <row r="189" spans="11:25" ht="95.25" customHeight="1" x14ac:dyDescent="0.3"/>
    <row r="190" spans="11:25" ht="60.75" customHeight="1" x14ac:dyDescent="0.3"/>
    <row r="191" spans="11:25" ht="69" customHeight="1" x14ac:dyDescent="0.3"/>
    <row r="192" spans="11:25" ht="72.75" customHeight="1" x14ac:dyDescent="0.3"/>
    <row r="193" ht="69" customHeight="1" x14ac:dyDescent="0.3"/>
  </sheetData>
  <mergeCells count="210">
    <mergeCell ref="M66:Y66"/>
    <mergeCell ref="M115:Y115"/>
    <mergeCell ref="M127:Y127"/>
    <mergeCell ref="E42:E43"/>
    <mergeCell ref="F42:H42"/>
    <mergeCell ref="J42:J43"/>
    <mergeCell ref="C103:D104"/>
    <mergeCell ref="E103:E104"/>
    <mergeCell ref="F103:H103"/>
    <mergeCell ref="E90:E91"/>
    <mergeCell ref="F90:H90"/>
    <mergeCell ref="K90:K91"/>
    <mergeCell ref="B80:K80"/>
    <mergeCell ref="K103:K104"/>
    <mergeCell ref="B105:K105"/>
    <mergeCell ref="B89:K89"/>
    <mergeCell ref="J78:J79"/>
    <mergeCell ref="J66:J67"/>
    <mergeCell ref="C62:D62"/>
    <mergeCell ref="C78:D79"/>
    <mergeCell ref="E78:E79"/>
    <mergeCell ref="F78:H78"/>
    <mergeCell ref="I78:I79"/>
    <mergeCell ref="C107:D107"/>
    <mergeCell ref="M128:Y128"/>
    <mergeCell ref="M67:Y67"/>
    <mergeCell ref="M78:Y78"/>
    <mergeCell ref="M79:Y79"/>
    <mergeCell ref="M90:Y90"/>
    <mergeCell ref="M91:Y91"/>
    <mergeCell ref="M103:Y103"/>
    <mergeCell ref="M104:Y104"/>
    <mergeCell ref="M114:Y114"/>
    <mergeCell ref="M126:Y126"/>
    <mergeCell ref="M77:Y77"/>
    <mergeCell ref="M89:Y89"/>
    <mergeCell ref="M102:Y102"/>
    <mergeCell ref="M113:Y113"/>
    <mergeCell ref="M18:Y18"/>
    <mergeCell ref="M30:Y30"/>
    <mergeCell ref="M41:Y41"/>
    <mergeCell ref="M54:Y54"/>
    <mergeCell ref="M65:Y65"/>
    <mergeCell ref="M19:Y19"/>
    <mergeCell ref="M31:Y31"/>
    <mergeCell ref="M32:Y32"/>
    <mergeCell ref="M42:Y42"/>
    <mergeCell ref="M43:Y43"/>
    <mergeCell ref="M55:Y55"/>
    <mergeCell ref="M56:Y56"/>
    <mergeCell ref="M20:Y20"/>
    <mergeCell ref="B145:I145"/>
    <mergeCell ref="B18:K18"/>
    <mergeCell ref="B30:K30"/>
    <mergeCell ref="B41:K41"/>
    <mergeCell ref="B54:K54"/>
    <mergeCell ref="B77:K77"/>
    <mergeCell ref="B21:K21"/>
    <mergeCell ref="B19:B20"/>
    <mergeCell ref="C19:D20"/>
    <mergeCell ref="E19:E20"/>
    <mergeCell ref="F19:H19"/>
    <mergeCell ref="I19:I20"/>
    <mergeCell ref="C22:D22"/>
    <mergeCell ref="J19:J20"/>
    <mergeCell ref="I31:I32"/>
    <mergeCell ref="C34:D34"/>
    <mergeCell ref="K66:K67"/>
    <mergeCell ref="B68:K68"/>
    <mergeCell ref="C40:D40"/>
    <mergeCell ref="C27:D27"/>
    <mergeCell ref="C23:D23"/>
    <mergeCell ref="C26:D26"/>
    <mergeCell ref="C35:D35"/>
    <mergeCell ref="B45:B50"/>
    <mergeCell ref="C25:D25"/>
    <mergeCell ref="I66:I67"/>
    <mergeCell ref="B66:B67"/>
    <mergeCell ref="J114:J115"/>
    <mergeCell ref="C69:D69"/>
    <mergeCell ref="C70:D70"/>
    <mergeCell ref="B129:K129"/>
    <mergeCell ref="B126:K126"/>
    <mergeCell ref="B146:I146"/>
    <mergeCell ref="B138:I140"/>
    <mergeCell ref="B141:I141"/>
    <mergeCell ref="B143:I143"/>
    <mergeCell ref="B144:I144"/>
    <mergeCell ref="C85:D85"/>
    <mergeCell ref="C83:D83"/>
    <mergeCell ref="B81:B85"/>
    <mergeCell ref="C81:D81"/>
    <mergeCell ref="C117:D117"/>
    <mergeCell ref="C119:D119"/>
    <mergeCell ref="B114:B115"/>
    <mergeCell ref="B93:B98"/>
    <mergeCell ref="C93:D93"/>
    <mergeCell ref="F114:H114"/>
    <mergeCell ref="C110:D110"/>
    <mergeCell ref="J31:J32"/>
    <mergeCell ref="B31:B32"/>
    <mergeCell ref="C31:D32"/>
    <mergeCell ref="E31:E32"/>
    <mergeCell ref="F31:H31"/>
    <mergeCell ref="J103:J104"/>
    <mergeCell ref="C86:D86"/>
    <mergeCell ref="I103:I104"/>
    <mergeCell ref="B106:B109"/>
    <mergeCell ref="B92:K92"/>
    <mergeCell ref="C108:D108"/>
    <mergeCell ref="K31:K32"/>
    <mergeCell ref="B103:B104"/>
    <mergeCell ref="C37:D37"/>
    <mergeCell ref="C50:D50"/>
    <mergeCell ref="C73:D73"/>
    <mergeCell ref="C109:D109"/>
    <mergeCell ref="K78:K79"/>
    <mergeCell ref="C137:D137"/>
    <mergeCell ref="J127:J128"/>
    <mergeCell ref="B127:B128"/>
    <mergeCell ref="C127:D128"/>
    <mergeCell ref="E127:E128"/>
    <mergeCell ref="F127:H127"/>
    <mergeCell ref="I127:I128"/>
    <mergeCell ref="I114:I115"/>
    <mergeCell ref="C136:D136"/>
    <mergeCell ref="C120:D120"/>
    <mergeCell ref="K127:K128"/>
    <mergeCell ref="C121:D121"/>
    <mergeCell ref="C123:D123"/>
    <mergeCell ref="C95:D95"/>
    <mergeCell ref="C97:D97"/>
    <mergeCell ref="C118:D118"/>
    <mergeCell ref="C72:D72"/>
    <mergeCell ref="B102:K102"/>
    <mergeCell ref="C106:D106"/>
    <mergeCell ref="B116:K116"/>
    <mergeCell ref="C114:D115"/>
    <mergeCell ref="B1:J1"/>
    <mergeCell ref="B2:J2"/>
    <mergeCell ref="B3:J3"/>
    <mergeCell ref="H5:J5"/>
    <mergeCell ref="G6:J6"/>
    <mergeCell ref="G7:J7"/>
    <mergeCell ref="G8:J8"/>
    <mergeCell ref="B55:B56"/>
    <mergeCell ref="B42:B43"/>
    <mergeCell ref="I42:I43"/>
    <mergeCell ref="C51:D51"/>
    <mergeCell ref="B22:B26"/>
    <mergeCell ref="B12:J12"/>
    <mergeCell ref="B13:J13"/>
    <mergeCell ref="B33:K33"/>
    <mergeCell ref="K42:K43"/>
    <mergeCell ref="C55:D56"/>
    <mergeCell ref="E55:E56"/>
    <mergeCell ref="K19:K20"/>
    <mergeCell ref="C42:D43"/>
    <mergeCell ref="C38:D38"/>
    <mergeCell ref="C45:D45"/>
    <mergeCell ref="B14:J14"/>
    <mergeCell ref="B15:J15"/>
    <mergeCell ref="C130:D130"/>
    <mergeCell ref="C24:D24"/>
    <mergeCell ref="B78:B79"/>
    <mergeCell ref="C122:D122"/>
    <mergeCell ref="B117:B121"/>
    <mergeCell ref="E114:E115"/>
    <mergeCell ref="C66:D67"/>
    <mergeCell ref="B57:K57"/>
    <mergeCell ref="J55:J56"/>
    <mergeCell ref="C74:D74"/>
    <mergeCell ref="E66:E67"/>
    <mergeCell ref="F66:H66"/>
    <mergeCell ref="C58:D58"/>
    <mergeCell ref="B69:B73"/>
    <mergeCell ref="I55:I56"/>
    <mergeCell ref="F55:H55"/>
    <mergeCell ref="B58:B61"/>
    <mergeCell ref="B65:K65"/>
    <mergeCell ref="C96:D96"/>
    <mergeCell ref="I90:I91"/>
    <mergeCell ref="J90:J91"/>
    <mergeCell ref="B113:K113"/>
    <mergeCell ref="C49:D49"/>
    <mergeCell ref="B34:B37"/>
    <mergeCell ref="C133:D133"/>
    <mergeCell ref="C135:D135"/>
    <mergeCell ref="C131:D131"/>
    <mergeCell ref="C132:D132"/>
    <mergeCell ref="C60:D60"/>
    <mergeCell ref="B90:B91"/>
    <mergeCell ref="C36:D36"/>
    <mergeCell ref="C46:D46"/>
    <mergeCell ref="C47:D47"/>
    <mergeCell ref="C48:D48"/>
    <mergeCell ref="C59:D59"/>
    <mergeCell ref="C61:D61"/>
    <mergeCell ref="C71:D71"/>
    <mergeCell ref="C84:D84"/>
    <mergeCell ref="B44:K44"/>
    <mergeCell ref="K55:K56"/>
    <mergeCell ref="B130:B135"/>
    <mergeCell ref="K114:K115"/>
    <mergeCell ref="C90:D91"/>
    <mergeCell ref="C134:D134"/>
    <mergeCell ref="C98:D98"/>
    <mergeCell ref="C94:D94"/>
    <mergeCell ref="C99:D99"/>
    <mergeCell ref="C82:D82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rowBreaks count="13" manualBreakCount="13">
    <brk id="16" max="16383" man="1"/>
    <brk id="28" max="16383" man="1"/>
    <brk id="39" max="16383" man="1"/>
    <brk id="52" max="16383" man="1"/>
    <brk id="63" max="16383" man="1"/>
    <brk id="75" max="16383" man="1"/>
    <brk id="87" max="16383" man="1"/>
    <brk id="100" max="16383" man="1"/>
    <brk id="111" max="16383" man="1"/>
    <brk id="124" max="16383" man="1"/>
    <brk id="136" max="23" man="1"/>
    <brk id="137" max="23" man="1"/>
    <brk id="156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264"/>
  <sheetViews>
    <sheetView tabSelected="1" zoomScale="80" zoomScaleNormal="80" workbookViewId="0">
      <selection activeCell="C200" sqref="C200:D200"/>
    </sheetView>
  </sheetViews>
  <sheetFormatPr defaultColWidth="9.109375" defaultRowHeight="15" customHeight="1" x14ac:dyDescent="0.3"/>
  <cols>
    <col min="1" max="1" width="7.109375" style="1" customWidth="1"/>
    <col min="2" max="2" width="10.109375" style="1" customWidth="1"/>
    <col min="3" max="3" width="9.109375" style="1" customWidth="1"/>
    <col min="4" max="4" width="45.44140625" style="1" customWidth="1"/>
    <col min="5" max="5" width="9.109375" style="1" customWidth="1"/>
    <col min="6" max="6" width="9" style="1" customWidth="1"/>
    <col min="7" max="7" width="9.44140625" style="1" customWidth="1"/>
    <col min="8" max="8" width="12.109375" style="1" customWidth="1"/>
    <col min="9" max="9" width="11.5546875" style="1" customWidth="1"/>
    <col min="10" max="10" width="14.44140625" style="1" customWidth="1"/>
    <col min="11" max="11" width="12" style="1" hidden="1" customWidth="1"/>
    <col min="12" max="12" width="2.21875" style="1" customWidth="1"/>
    <col min="13" max="25" width="9.109375" style="106" customWidth="1"/>
  </cols>
  <sheetData>
    <row r="1" spans="2:25" ht="22.05" customHeight="1" x14ac:dyDescent="0.3">
      <c r="B1" s="243" t="s">
        <v>102</v>
      </c>
      <c r="C1" s="243"/>
      <c r="D1" s="243"/>
      <c r="E1" s="243"/>
      <c r="F1" s="243"/>
      <c r="G1" s="243"/>
      <c r="H1" s="243"/>
      <c r="I1" s="243"/>
      <c r="J1" s="243"/>
    </row>
    <row r="2" spans="2:25" ht="22.05" customHeight="1" x14ac:dyDescent="0.3">
      <c r="B2" s="248" t="s">
        <v>95</v>
      </c>
      <c r="C2" s="248"/>
      <c r="D2" s="248"/>
      <c r="E2" s="248"/>
      <c r="F2" s="248"/>
      <c r="G2" s="248"/>
      <c r="H2" s="248"/>
      <c r="I2" s="248"/>
      <c r="J2" s="248"/>
    </row>
    <row r="3" spans="2:25" ht="22.05" customHeight="1" x14ac:dyDescent="0.3">
      <c r="B3" s="249" t="s">
        <v>96</v>
      </c>
      <c r="C3" s="249"/>
      <c r="D3" s="249"/>
      <c r="E3" s="249"/>
      <c r="F3" s="249"/>
      <c r="G3" s="249"/>
      <c r="H3" s="249"/>
      <c r="I3" s="249"/>
      <c r="J3" s="249"/>
    </row>
    <row r="4" spans="2:25" ht="22.05" customHeight="1" x14ac:dyDescent="0.3">
      <c r="B4" s="62"/>
      <c r="C4" s="62"/>
      <c r="D4" s="62"/>
      <c r="E4" s="62"/>
      <c r="F4" s="62"/>
      <c r="G4" s="62"/>
      <c r="H4" s="62"/>
      <c r="I4" s="62"/>
      <c r="J4" s="62"/>
    </row>
    <row r="5" spans="2:25" ht="22.05" customHeight="1" x14ac:dyDescent="0.3">
      <c r="B5" s="62"/>
      <c r="C5" s="62"/>
      <c r="D5" s="62"/>
      <c r="E5" s="62"/>
      <c r="F5" s="62"/>
      <c r="G5" s="61"/>
      <c r="H5" s="244" t="s">
        <v>103</v>
      </c>
      <c r="I5" s="244"/>
      <c r="J5" s="244"/>
    </row>
    <row r="6" spans="2:25" ht="22.05" customHeight="1" x14ac:dyDescent="0.3">
      <c r="B6" s="62"/>
      <c r="C6" s="62"/>
      <c r="D6" s="62"/>
      <c r="E6" s="62"/>
      <c r="F6" s="62"/>
      <c r="G6" s="244" t="s">
        <v>183</v>
      </c>
      <c r="H6" s="244"/>
      <c r="I6" s="244"/>
      <c r="J6" s="244"/>
    </row>
    <row r="7" spans="2:25" ht="22.05" customHeight="1" x14ac:dyDescent="0.3">
      <c r="B7" s="62"/>
      <c r="C7" s="62"/>
      <c r="D7" s="62"/>
      <c r="E7" s="62"/>
      <c r="F7" s="62"/>
      <c r="G7" s="244" t="s">
        <v>181</v>
      </c>
      <c r="H7" s="244"/>
      <c r="I7" s="244"/>
      <c r="J7" s="244"/>
    </row>
    <row r="8" spans="2:25" ht="22.05" customHeight="1" x14ac:dyDescent="0.3">
      <c r="B8" s="33"/>
      <c r="C8" s="33"/>
      <c r="D8" s="33"/>
      <c r="E8" s="33"/>
      <c r="F8" s="33"/>
      <c r="G8" s="245" t="s">
        <v>184</v>
      </c>
      <c r="H8" s="245"/>
      <c r="I8" s="245"/>
      <c r="J8" s="245"/>
    </row>
    <row r="9" spans="2:25" ht="22.05" customHeight="1" x14ac:dyDescent="0.3">
      <c r="B9" s="33"/>
      <c r="C9" s="33"/>
      <c r="D9" s="33"/>
      <c r="E9" s="33"/>
      <c r="F9" s="33"/>
      <c r="G9" s="33"/>
      <c r="H9" s="33"/>
      <c r="I9" s="33"/>
      <c r="J9" s="33"/>
    </row>
    <row r="10" spans="2:25" ht="22.05" customHeight="1" x14ac:dyDescent="0.45">
      <c r="B10" s="32"/>
      <c r="C10" s="32"/>
      <c r="D10" s="32"/>
      <c r="E10" s="32"/>
      <c r="F10" s="32"/>
      <c r="G10" s="32"/>
      <c r="H10" s="32"/>
      <c r="I10" s="32"/>
      <c r="J10" s="29"/>
    </row>
    <row r="11" spans="2:25" ht="22.05" customHeight="1" x14ac:dyDescent="0.45">
      <c r="B11" s="32"/>
      <c r="C11" s="32"/>
      <c r="D11" s="32"/>
      <c r="E11" s="32"/>
      <c r="F11" s="32"/>
      <c r="G11" s="32"/>
      <c r="H11" s="32"/>
      <c r="I11" s="32"/>
      <c r="J11" s="29"/>
    </row>
    <row r="12" spans="2:25" ht="22.05" customHeight="1" x14ac:dyDescent="0.4">
      <c r="B12" s="250" t="s">
        <v>98</v>
      </c>
      <c r="C12" s="251"/>
      <c r="D12" s="251"/>
      <c r="E12" s="251"/>
      <c r="F12" s="251"/>
      <c r="G12" s="251"/>
      <c r="H12" s="251"/>
      <c r="I12" s="251"/>
      <c r="J12" s="252"/>
    </row>
    <row r="13" spans="2:25" ht="22.05" customHeight="1" x14ac:dyDescent="0.4">
      <c r="B13" s="253" t="s">
        <v>100</v>
      </c>
      <c r="C13" s="254"/>
      <c r="D13" s="254"/>
      <c r="E13" s="254"/>
      <c r="F13" s="254"/>
      <c r="G13" s="254"/>
      <c r="H13" s="254"/>
      <c r="I13" s="254"/>
      <c r="J13" s="255"/>
    </row>
    <row r="14" spans="2:25" ht="22.05" customHeight="1" x14ac:dyDescent="0.4">
      <c r="B14" s="253" t="s">
        <v>94</v>
      </c>
      <c r="C14" s="254"/>
      <c r="D14" s="254"/>
      <c r="E14" s="254"/>
      <c r="F14" s="254"/>
      <c r="G14" s="254"/>
      <c r="H14" s="254"/>
      <c r="I14" s="254"/>
      <c r="J14" s="255"/>
    </row>
    <row r="15" spans="2:25" ht="22.05" customHeight="1" x14ac:dyDescent="0.4">
      <c r="B15" s="256" t="s">
        <v>221</v>
      </c>
      <c r="C15" s="257"/>
      <c r="D15" s="257"/>
      <c r="E15" s="257"/>
      <c r="F15" s="257"/>
      <c r="G15" s="257"/>
      <c r="H15" s="257"/>
      <c r="I15" s="257"/>
      <c r="J15" s="258"/>
    </row>
    <row r="16" spans="2:25" ht="22.05" customHeight="1" x14ac:dyDescent="0.3">
      <c r="B16" s="2"/>
      <c r="C16" s="2"/>
      <c r="D16" s="3"/>
      <c r="E16" s="186" t="s">
        <v>177</v>
      </c>
      <c r="F16" s="186">
        <v>3.48</v>
      </c>
      <c r="G16" s="186">
        <v>0.64</v>
      </c>
      <c r="H16" s="186">
        <v>21.4</v>
      </c>
      <c r="I16" s="186">
        <v>134.22</v>
      </c>
      <c r="J16" s="189"/>
      <c r="K16" s="189" t="s">
        <v>166</v>
      </c>
      <c r="L16" s="189"/>
      <c r="M16" s="195">
        <v>0.16400000000000001</v>
      </c>
      <c r="N16" s="195">
        <v>0.10100000000000001</v>
      </c>
      <c r="O16" s="195">
        <v>0</v>
      </c>
      <c r="P16" s="195">
        <v>2.2400000000000002</v>
      </c>
      <c r="Q16" s="195">
        <v>0.08</v>
      </c>
      <c r="R16" s="195">
        <v>189.2</v>
      </c>
      <c r="S16" s="195">
        <v>50</v>
      </c>
      <c r="T16" s="195">
        <v>1.96</v>
      </c>
      <c r="U16" s="195">
        <v>16.399999999999999</v>
      </c>
      <c r="V16" s="195">
        <v>51.6</v>
      </c>
      <c r="W16" s="195">
        <v>1.44</v>
      </c>
      <c r="X16" s="195">
        <v>0</v>
      </c>
      <c r="Y16" s="195">
        <v>11.52</v>
      </c>
    </row>
    <row r="17" spans="1:25" ht="22.05" customHeight="1" x14ac:dyDescent="0.3">
      <c r="B17" s="2"/>
      <c r="C17" s="2"/>
      <c r="D17" s="3"/>
      <c r="E17" s="186" t="s">
        <v>178</v>
      </c>
      <c r="F17" s="186">
        <v>1.9</v>
      </c>
      <c r="G17" s="186">
        <v>0.45</v>
      </c>
      <c r="H17" s="186">
        <v>25</v>
      </c>
      <c r="I17" s="186">
        <v>123.73</v>
      </c>
      <c r="J17" s="189"/>
      <c r="K17" s="189" t="s">
        <v>167</v>
      </c>
      <c r="L17" s="189"/>
      <c r="M17" s="195">
        <v>0.17</v>
      </c>
      <c r="N17" s="195">
        <v>0.13</v>
      </c>
      <c r="O17" s="195">
        <v>0</v>
      </c>
      <c r="P17" s="195">
        <v>1.52</v>
      </c>
      <c r="Q17" s="195">
        <v>0.16</v>
      </c>
      <c r="R17" s="195">
        <v>241.2</v>
      </c>
      <c r="S17" s="195">
        <v>29.2</v>
      </c>
      <c r="T17" s="195">
        <v>0.48</v>
      </c>
      <c r="U17" s="195">
        <v>16</v>
      </c>
      <c r="V17" s="195">
        <v>50</v>
      </c>
      <c r="W17" s="195">
        <v>1.1299999999999999</v>
      </c>
      <c r="X17" s="195">
        <v>0</v>
      </c>
      <c r="Y17" s="195">
        <v>12.36</v>
      </c>
    </row>
    <row r="18" spans="1:25" s="19" customFormat="1" ht="22.05" customHeight="1" x14ac:dyDescent="0.3">
      <c r="A18" s="17"/>
      <c r="B18" s="225" t="s">
        <v>59</v>
      </c>
      <c r="C18" s="225"/>
      <c r="D18" s="225"/>
      <c r="E18" s="225"/>
      <c r="F18" s="225"/>
      <c r="G18" s="225"/>
      <c r="H18" s="225"/>
      <c r="I18" s="225"/>
      <c r="J18" s="225"/>
      <c r="K18" s="225"/>
      <c r="L18" s="17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</row>
    <row r="19" spans="1:25" s="19" customFormat="1" ht="22.05" customHeight="1" x14ac:dyDescent="0.3">
      <c r="A19" s="17"/>
      <c r="B19" s="231" t="s">
        <v>70</v>
      </c>
      <c r="C19" s="225" t="s">
        <v>1</v>
      </c>
      <c r="D19" s="225"/>
      <c r="E19" s="225" t="s">
        <v>2</v>
      </c>
      <c r="F19" s="225" t="s">
        <v>3</v>
      </c>
      <c r="G19" s="225"/>
      <c r="H19" s="225"/>
      <c r="I19" s="231" t="s">
        <v>142</v>
      </c>
      <c r="J19" s="225" t="s">
        <v>72</v>
      </c>
      <c r="K19" s="269" t="s">
        <v>180</v>
      </c>
      <c r="L19" s="153"/>
      <c r="M19" s="286" t="s">
        <v>156</v>
      </c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8"/>
    </row>
    <row r="20" spans="1:25" s="19" customFormat="1" ht="43.2" customHeight="1" x14ac:dyDescent="0.3">
      <c r="A20" s="17"/>
      <c r="B20" s="231"/>
      <c r="C20" s="225"/>
      <c r="D20" s="225"/>
      <c r="E20" s="225"/>
      <c r="F20" s="213" t="s">
        <v>139</v>
      </c>
      <c r="G20" s="213" t="s">
        <v>140</v>
      </c>
      <c r="H20" s="213" t="s">
        <v>141</v>
      </c>
      <c r="I20" s="231"/>
      <c r="J20" s="225"/>
      <c r="K20" s="269"/>
      <c r="L20" s="154"/>
      <c r="M20" s="289" t="s">
        <v>168</v>
      </c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1"/>
    </row>
    <row r="21" spans="1:25" s="19" customFormat="1" ht="22.05" customHeight="1" x14ac:dyDescent="0.3">
      <c r="A21" s="17"/>
      <c r="B21" s="268" t="s">
        <v>85</v>
      </c>
      <c r="C21" s="268"/>
      <c r="D21" s="268"/>
      <c r="E21" s="268"/>
      <c r="F21" s="268"/>
      <c r="G21" s="268"/>
      <c r="H21" s="268"/>
      <c r="I21" s="268"/>
      <c r="J21" s="268"/>
      <c r="K21" s="268"/>
      <c r="L21" s="161"/>
      <c r="M21" s="81" t="s">
        <v>143</v>
      </c>
      <c r="N21" s="81" t="s">
        <v>144</v>
      </c>
      <c r="O21" s="81" t="s">
        <v>145</v>
      </c>
      <c r="P21" s="81" t="s">
        <v>147</v>
      </c>
      <c r="Q21" s="81" t="s">
        <v>146</v>
      </c>
      <c r="R21" s="81" t="s">
        <v>148</v>
      </c>
      <c r="S21" s="81" t="s">
        <v>149</v>
      </c>
      <c r="T21" s="81" t="s">
        <v>150</v>
      </c>
      <c r="U21" s="81" t="s">
        <v>151</v>
      </c>
      <c r="V21" s="81" t="s">
        <v>152</v>
      </c>
      <c r="W21" s="81" t="s">
        <v>153</v>
      </c>
      <c r="X21" s="81" t="s">
        <v>154</v>
      </c>
      <c r="Y21" s="81" t="s">
        <v>155</v>
      </c>
    </row>
    <row r="22" spans="1:25" s="19" customFormat="1" ht="22.05" customHeight="1" x14ac:dyDescent="0.3">
      <c r="A22" s="17"/>
      <c r="B22" s="230" t="s">
        <v>4</v>
      </c>
      <c r="C22" s="232" t="s">
        <v>6</v>
      </c>
      <c r="D22" s="284"/>
      <c r="E22" s="48">
        <v>200</v>
      </c>
      <c r="F22" s="49">
        <v>8.4</v>
      </c>
      <c r="G22" s="49">
        <v>11.5</v>
      </c>
      <c r="H22" s="49">
        <v>38.799999999999997</v>
      </c>
      <c r="I22" s="49">
        <v>292.10000000000002</v>
      </c>
      <c r="J22" s="50" t="s">
        <v>5</v>
      </c>
      <c r="K22" s="133">
        <v>24</v>
      </c>
      <c r="L22" s="150"/>
      <c r="M22" s="82">
        <v>0.24</v>
      </c>
      <c r="N22" s="82">
        <v>0.13</v>
      </c>
      <c r="O22" s="82">
        <v>42.5</v>
      </c>
      <c r="P22" s="82">
        <v>0.7</v>
      </c>
      <c r="Q22" s="82">
        <v>0</v>
      </c>
      <c r="R22" s="82">
        <v>453</v>
      </c>
      <c r="S22" s="82">
        <v>255</v>
      </c>
      <c r="T22" s="82">
        <v>129</v>
      </c>
      <c r="U22" s="82">
        <v>58</v>
      </c>
      <c r="V22" s="82">
        <v>148</v>
      </c>
      <c r="W22" s="82">
        <v>2.4</v>
      </c>
      <c r="X22" s="82">
        <v>41.3</v>
      </c>
      <c r="Y22" s="82">
        <v>2.5</v>
      </c>
    </row>
    <row r="23" spans="1:25" s="19" customFormat="1" ht="22.05" customHeight="1" x14ac:dyDescent="0.3">
      <c r="A23" s="17"/>
      <c r="B23" s="230"/>
      <c r="C23" s="224" t="s">
        <v>111</v>
      </c>
      <c r="D23" s="224"/>
      <c r="E23" s="48">
        <v>40</v>
      </c>
      <c r="F23" s="49">
        <f>F16/100*40</f>
        <v>1.3919999999999999</v>
      </c>
      <c r="G23" s="49">
        <f>G16/100*40</f>
        <v>0.25600000000000001</v>
      </c>
      <c r="H23" s="49">
        <f>H16/100*40</f>
        <v>8.56</v>
      </c>
      <c r="I23" s="49">
        <f>I16/100*40</f>
        <v>53.688000000000002</v>
      </c>
      <c r="J23" s="48" t="s">
        <v>60</v>
      </c>
      <c r="K23" s="133">
        <v>3.64</v>
      </c>
      <c r="L23" s="150"/>
      <c r="M23" s="82">
        <f>M16</f>
        <v>0.16400000000000001</v>
      </c>
      <c r="N23" s="82">
        <f t="shared" ref="N23:Y23" si="0">N16</f>
        <v>0.10100000000000001</v>
      </c>
      <c r="O23" s="82">
        <f t="shared" si="0"/>
        <v>0</v>
      </c>
      <c r="P23" s="82">
        <f t="shared" si="0"/>
        <v>2.2400000000000002</v>
      </c>
      <c r="Q23" s="82">
        <f t="shared" si="0"/>
        <v>0.08</v>
      </c>
      <c r="R23" s="82">
        <f t="shared" si="0"/>
        <v>189.2</v>
      </c>
      <c r="S23" s="82">
        <f t="shared" si="0"/>
        <v>50</v>
      </c>
      <c r="T23" s="82">
        <f t="shared" si="0"/>
        <v>1.96</v>
      </c>
      <c r="U23" s="82">
        <f t="shared" si="0"/>
        <v>16.399999999999999</v>
      </c>
      <c r="V23" s="82">
        <f t="shared" si="0"/>
        <v>51.6</v>
      </c>
      <c r="W23" s="82">
        <f t="shared" si="0"/>
        <v>1.44</v>
      </c>
      <c r="X23" s="82">
        <f t="shared" si="0"/>
        <v>0</v>
      </c>
      <c r="Y23" s="82">
        <f t="shared" si="0"/>
        <v>11.52</v>
      </c>
    </row>
    <row r="24" spans="1:25" s="19" customFormat="1" ht="22.05" customHeight="1" x14ac:dyDescent="0.3">
      <c r="A24" s="17"/>
      <c r="B24" s="230"/>
      <c r="C24" s="224" t="s">
        <v>108</v>
      </c>
      <c r="D24" s="224"/>
      <c r="E24" s="48">
        <v>32</v>
      </c>
      <c r="F24" s="49">
        <f>F17/100*32</f>
        <v>0.60799999999999998</v>
      </c>
      <c r="G24" s="49">
        <f>G17/100*32</f>
        <v>0.14400000000000002</v>
      </c>
      <c r="H24" s="49">
        <f>H17/100*32</f>
        <v>8</v>
      </c>
      <c r="I24" s="49">
        <f>I17/100*32</f>
        <v>39.593600000000002</v>
      </c>
      <c r="J24" s="48" t="s">
        <v>60</v>
      </c>
      <c r="K24" s="133">
        <v>3.64</v>
      </c>
      <c r="L24" s="150"/>
      <c r="M24" s="82">
        <f>M17/40*32</f>
        <v>0.13600000000000001</v>
      </c>
      <c r="N24" s="82">
        <f t="shared" ref="N24:Y24" si="1">N17/40*32</f>
        <v>0.10400000000000001</v>
      </c>
      <c r="O24" s="82">
        <f t="shared" si="1"/>
        <v>0</v>
      </c>
      <c r="P24" s="82">
        <f t="shared" si="1"/>
        <v>1.216</v>
      </c>
      <c r="Q24" s="82">
        <f t="shared" si="1"/>
        <v>0.128</v>
      </c>
      <c r="R24" s="82">
        <f t="shared" si="1"/>
        <v>192.95999999999998</v>
      </c>
      <c r="S24" s="82">
        <f t="shared" si="1"/>
        <v>23.36</v>
      </c>
      <c r="T24" s="82">
        <f t="shared" si="1"/>
        <v>0.38400000000000001</v>
      </c>
      <c r="U24" s="82">
        <f t="shared" si="1"/>
        <v>12.8</v>
      </c>
      <c r="V24" s="82">
        <f t="shared" si="1"/>
        <v>40</v>
      </c>
      <c r="W24" s="82">
        <f t="shared" si="1"/>
        <v>0.90399999999999991</v>
      </c>
      <c r="X24" s="82">
        <f t="shared" si="1"/>
        <v>0</v>
      </c>
      <c r="Y24" s="82">
        <f t="shared" si="1"/>
        <v>9.8879999999999999</v>
      </c>
    </row>
    <row r="25" spans="1:25" s="19" customFormat="1" ht="22.05" customHeight="1" x14ac:dyDescent="0.3">
      <c r="A25" s="17"/>
      <c r="B25" s="230"/>
      <c r="C25" s="224" t="s">
        <v>211</v>
      </c>
      <c r="D25" s="224"/>
      <c r="E25" s="48">
        <v>200</v>
      </c>
      <c r="F25" s="49">
        <v>0.3</v>
      </c>
      <c r="G25" s="49">
        <v>0</v>
      </c>
      <c r="H25" s="49">
        <v>6.7</v>
      </c>
      <c r="I25" s="49">
        <v>27.6</v>
      </c>
      <c r="J25" s="50" t="s">
        <v>17</v>
      </c>
      <c r="K25" s="156">
        <v>5.72</v>
      </c>
      <c r="L25" s="150"/>
      <c r="M25" s="82">
        <v>0</v>
      </c>
      <c r="N25" s="82">
        <v>0.01</v>
      </c>
      <c r="O25" s="82">
        <v>0</v>
      </c>
      <c r="P25" s="82">
        <v>7.0000000000000007E-2</v>
      </c>
      <c r="Q25" s="82">
        <v>1</v>
      </c>
      <c r="R25" s="82">
        <v>2</v>
      </c>
      <c r="S25" s="82">
        <v>36</v>
      </c>
      <c r="T25" s="82">
        <v>6</v>
      </c>
      <c r="U25" s="82">
        <v>5</v>
      </c>
      <c r="V25" s="82">
        <v>8</v>
      </c>
      <c r="W25" s="82">
        <v>1</v>
      </c>
      <c r="X25" s="82">
        <v>0</v>
      </c>
      <c r="Y25" s="82">
        <v>0</v>
      </c>
    </row>
    <row r="26" spans="1:25" s="19" customFormat="1" ht="22.05" customHeight="1" x14ac:dyDescent="0.3">
      <c r="A26" s="17"/>
      <c r="B26" s="230"/>
      <c r="C26" s="224" t="s">
        <v>39</v>
      </c>
      <c r="D26" s="224"/>
      <c r="E26" s="48">
        <v>200</v>
      </c>
      <c r="F26" s="49">
        <v>0.8</v>
      </c>
      <c r="G26" s="49">
        <v>0.8</v>
      </c>
      <c r="H26" s="49">
        <v>19.600000000000001</v>
      </c>
      <c r="I26" s="49">
        <v>93.73</v>
      </c>
      <c r="J26" s="50">
        <v>338</v>
      </c>
      <c r="K26" s="133">
        <v>44</v>
      </c>
      <c r="L26" s="150"/>
      <c r="M26" s="82">
        <v>7.0000000000000007E-2</v>
      </c>
      <c r="N26" s="82">
        <v>0.04</v>
      </c>
      <c r="O26" s="82">
        <v>10</v>
      </c>
      <c r="P26" s="82">
        <v>0.76</v>
      </c>
      <c r="Q26" s="82">
        <v>20</v>
      </c>
      <c r="R26" s="82">
        <v>52</v>
      </c>
      <c r="S26" s="82">
        <v>556</v>
      </c>
      <c r="T26" s="82">
        <v>32</v>
      </c>
      <c r="U26" s="82">
        <v>18</v>
      </c>
      <c r="V26" s="82">
        <v>22</v>
      </c>
      <c r="W26" s="82">
        <v>4.4000000000000004</v>
      </c>
      <c r="X26" s="82">
        <v>4</v>
      </c>
      <c r="Y26" s="82">
        <v>0.6</v>
      </c>
    </row>
    <row r="27" spans="1:25" s="19" customFormat="1" ht="22.05" customHeight="1" x14ac:dyDescent="0.3">
      <c r="A27" s="17"/>
      <c r="B27" s="65"/>
      <c r="C27" s="272" t="s">
        <v>65</v>
      </c>
      <c r="D27" s="273"/>
      <c r="E27" s="66">
        <f>SUM(E22:E26)</f>
        <v>672</v>
      </c>
      <c r="F27" s="68">
        <f>SUM(F22:F26)</f>
        <v>11.500000000000002</v>
      </c>
      <c r="G27" s="68">
        <f>SUM(G22:G26)</f>
        <v>12.700000000000001</v>
      </c>
      <c r="H27" s="68">
        <f>SUM(H22:H26)</f>
        <v>81.66</v>
      </c>
      <c r="I27" s="68">
        <f>SUM(I22:I26)</f>
        <v>506.71160000000003</v>
      </c>
      <c r="J27" s="67"/>
      <c r="K27" s="55">
        <f>SUM(K22:K26)</f>
        <v>81</v>
      </c>
      <c r="L27" s="150"/>
      <c r="M27" s="102">
        <f t="shared" ref="M27:Y27" si="2">SUM(M22:M26)</f>
        <v>0.6100000000000001</v>
      </c>
      <c r="N27" s="102">
        <f t="shared" si="2"/>
        <v>0.38500000000000001</v>
      </c>
      <c r="O27" s="102">
        <f t="shared" si="2"/>
        <v>52.5</v>
      </c>
      <c r="P27" s="102">
        <f t="shared" si="2"/>
        <v>4.9860000000000007</v>
      </c>
      <c r="Q27" s="102">
        <f t="shared" si="2"/>
        <v>21.207999999999998</v>
      </c>
      <c r="R27" s="102">
        <f t="shared" si="2"/>
        <v>889.16000000000008</v>
      </c>
      <c r="S27" s="102">
        <f t="shared" si="2"/>
        <v>920.36</v>
      </c>
      <c r="T27" s="102">
        <f t="shared" si="2"/>
        <v>169.34399999999999</v>
      </c>
      <c r="U27" s="102">
        <f t="shared" si="2"/>
        <v>110.2</v>
      </c>
      <c r="V27" s="102">
        <f t="shared" si="2"/>
        <v>269.60000000000002</v>
      </c>
      <c r="W27" s="102">
        <f t="shared" si="2"/>
        <v>10.144</v>
      </c>
      <c r="X27" s="102">
        <f t="shared" si="2"/>
        <v>45.3</v>
      </c>
      <c r="Y27" s="102">
        <f t="shared" si="2"/>
        <v>24.508000000000003</v>
      </c>
    </row>
    <row r="28" spans="1:25" s="45" customFormat="1" ht="22.05" customHeight="1" x14ac:dyDescent="0.3">
      <c r="A28" s="20"/>
      <c r="B28" s="230" t="s">
        <v>9</v>
      </c>
      <c r="C28" s="224" t="s">
        <v>214</v>
      </c>
      <c r="D28" s="224"/>
      <c r="E28" s="48">
        <v>100</v>
      </c>
      <c r="F28" s="49">
        <v>0.35</v>
      </c>
      <c r="G28" s="49">
        <v>1.64</v>
      </c>
      <c r="H28" s="49">
        <v>2.04</v>
      </c>
      <c r="I28" s="49">
        <v>23.7</v>
      </c>
      <c r="J28" s="50">
        <v>8</v>
      </c>
      <c r="K28" s="133">
        <v>21.7</v>
      </c>
      <c r="L28" s="133"/>
      <c r="M28" s="82">
        <v>0.03</v>
      </c>
      <c r="N28" s="82">
        <v>0.02</v>
      </c>
      <c r="O28" s="82">
        <v>0</v>
      </c>
      <c r="P28" s="82">
        <v>0.35</v>
      </c>
      <c r="Q28" s="82">
        <v>6.9</v>
      </c>
      <c r="R28" s="82">
        <v>153.83000000000001</v>
      </c>
      <c r="S28" s="82">
        <v>215.5</v>
      </c>
      <c r="T28" s="82">
        <v>14.13</v>
      </c>
      <c r="U28" s="82">
        <v>13.12</v>
      </c>
      <c r="V28" s="82">
        <v>24.19</v>
      </c>
      <c r="W28" s="82">
        <v>0.63</v>
      </c>
      <c r="X28" s="82">
        <v>0</v>
      </c>
      <c r="Y28" s="82">
        <v>0</v>
      </c>
    </row>
    <row r="29" spans="1:25" s="45" customFormat="1" ht="22.05" customHeight="1" x14ac:dyDescent="0.3">
      <c r="A29" s="20"/>
      <c r="B29" s="230"/>
      <c r="C29" s="224" t="s">
        <v>36</v>
      </c>
      <c r="D29" s="224"/>
      <c r="E29" s="48">
        <v>200</v>
      </c>
      <c r="F29" s="49">
        <v>10.199999999999999</v>
      </c>
      <c r="G29" s="49">
        <v>9.4</v>
      </c>
      <c r="H29" s="49">
        <v>40.700000000000003</v>
      </c>
      <c r="I29" s="49">
        <v>288.8</v>
      </c>
      <c r="J29" s="50" t="s">
        <v>209</v>
      </c>
      <c r="K29" s="133"/>
      <c r="L29" s="133"/>
      <c r="M29" s="82">
        <v>0.08</v>
      </c>
      <c r="N29" s="82">
        <v>0.09</v>
      </c>
      <c r="O29" s="82">
        <v>46</v>
      </c>
      <c r="P29" s="82">
        <v>0.6</v>
      </c>
      <c r="Q29" s="82">
        <v>0</v>
      </c>
      <c r="R29" s="82">
        <v>453</v>
      </c>
      <c r="S29" s="82">
        <v>30</v>
      </c>
      <c r="T29" s="82">
        <v>245</v>
      </c>
      <c r="U29" s="82">
        <v>17</v>
      </c>
      <c r="V29" s="82">
        <v>141</v>
      </c>
      <c r="W29" s="82">
        <v>1</v>
      </c>
      <c r="X29" s="82">
        <v>26.7</v>
      </c>
      <c r="Y29" s="82">
        <v>0</v>
      </c>
    </row>
    <row r="30" spans="1:25" s="45" customFormat="1" ht="22.05" customHeight="1" x14ac:dyDescent="0.3">
      <c r="A30" s="20"/>
      <c r="B30" s="230"/>
      <c r="C30" s="224" t="s">
        <v>111</v>
      </c>
      <c r="D30" s="224"/>
      <c r="E30" s="48">
        <v>36</v>
      </c>
      <c r="F30" s="49">
        <f>F16/100*36</f>
        <v>1.2527999999999999</v>
      </c>
      <c r="G30" s="49">
        <f>G16/100*36</f>
        <v>0.23040000000000002</v>
      </c>
      <c r="H30" s="49">
        <f>H16/100*36</f>
        <v>7.7039999999999997</v>
      </c>
      <c r="I30" s="49">
        <f>I16/100*36</f>
        <v>48.319200000000002</v>
      </c>
      <c r="J30" s="48" t="s">
        <v>60</v>
      </c>
      <c r="K30" s="133">
        <v>3.64</v>
      </c>
      <c r="L30" s="133"/>
      <c r="M30" s="82">
        <f>M16/40*36</f>
        <v>0.14760000000000001</v>
      </c>
      <c r="N30" s="82">
        <f t="shared" ref="N30:Y30" si="3">N16/40*36</f>
        <v>9.0900000000000009E-2</v>
      </c>
      <c r="O30" s="82">
        <f t="shared" si="3"/>
        <v>0</v>
      </c>
      <c r="P30" s="82">
        <f t="shared" si="3"/>
        <v>2.0160000000000005</v>
      </c>
      <c r="Q30" s="82">
        <f t="shared" si="3"/>
        <v>7.2000000000000008E-2</v>
      </c>
      <c r="R30" s="82">
        <f t="shared" si="3"/>
        <v>170.27999999999997</v>
      </c>
      <c r="S30" s="82">
        <f t="shared" si="3"/>
        <v>45</v>
      </c>
      <c r="T30" s="82">
        <f t="shared" si="3"/>
        <v>1.764</v>
      </c>
      <c r="U30" s="82">
        <f t="shared" si="3"/>
        <v>14.76</v>
      </c>
      <c r="V30" s="82">
        <f t="shared" si="3"/>
        <v>46.44</v>
      </c>
      <c r="W30" s="82">
        <f t="shared" si="3"/>
        <v>1.2959999999999998</v>
      </c>
      <c r="X30" s="82">
        <f t="shared" si="3"/>
        <v>0</v>
      </c>
      <c r="Y30" s="82">
        <f t="shared" si="3"/>
        <v>10.367999999999999</v>
      </c>
    </row>
    <row r="31" spans="1:25" s="45" customFormat="1" ht="22.05" customHeight="1" x14ac:dyDescent="0.3">
      <c r="A31" s="20"/>
      <c r="B31" s="230"/>
      <c r="C31" s="224" t="s">
        <v>115</v>
      </c>
      <c r="D31" s="224"/>
      <c r="E31" s="48">
        <v>28</v>
      </c>
      <c r="F31" s="49">
        <f>F17/100*28</f>
        <v>0.53200000000000003</v>
      </c>
      <c r="G31" s="49">
        <f>G17/100*28</f>
        <v>0.126</v>
      </c>
      <c r="H31" s="49">
        <f>H17/100*28</f>
        <v>7</v>
      </c>
      <c r="I31" s="49">
        <f>I17/100*28</f>
        <v>34.644400000000005</v>
      </c>
      <c r="J31" s="48" t="s">
        <v>60</v>
      </c>
      <c r="K31" s="133">
        <v>2.64</v>
      </c>
      <c r="L31" s="133"/>
      <c r="M31" s="82">
        <f>M17/40*28</f>
        <v>0.11900000000000001</v>
      </c>
      <c r="N31" s="82">
        <f t="shared" ref="N31:Y31" si="4">N17/40*28</f>
        <v>9.1000000000000011E-2</v>
      </c>
      <c r="O31" s="82">
        <f t="shared" si="4"/>
        <v>0</v>
      </c>
      <c r="P31" s="82">
        <f t="shared" si="4"/>
        <v>1.0640000000000001</v>
      </c>
      <c r="Q31" s="82">
        <f t="shared" si="4"/>
        <v>0.112</v>
      </c>
      <c r="R31" s="82">
        <f t="shared" si="4"/>
        <v>168.83999999999997</v>
      </c>
      <c r="S31" s="82">
        <f t="shared" si="4"/>
        <v>20.439999999999998</v>
      </c>
      <c r="T31" s="82">
        <f t="shared" si="4"/>
        <v>0.33600000000000002</v>
      </c>
      <c r="U31" s="82">
        <f t="shared" si="4"/>
        <v>11.200000000000001</v>
      </c>
      <c r="V31" s="82">
        <f t="shared" si="4"/>
        <v>35</v>
      </c>
      <c r="W31" s="82">
        <f t="shared" si="4"/>
        <v>0.79099999999999993</v>
      </c>
      <c r="X31" s="82">
        <f t="shared" si="4"/>
        <v>0</v>
      </c>
      <c r="Y31" s="82">
        <f t="shared" si="4"/>
        <v>8.6519999999999992</v>
      </c>
    </row>
    <row r="32" spans="1:25" s="45" customFormat="1" ht="22.05" customHeight="1" x14ac:dyDescent="0.3">
      <c r="A32" s="20"/>
      <c r="B32" s="230"/>
      <c r="C32" s="224" t="s">
        <v>185</v>
      </c>
      <c r="D32" s="224"/>
      <c r="E32" s="48">
        <v>200</v>
      </c>
      <c r="F32" s="49">
        <v>4.5999999999999996</v>
      </c>
      <c r="G32" s="49">
        <v>4.3</v>
      </c>
      <c r="H32" s="49">
        <v>12.4</v>
      </c>
      <c r="I32" s="49">
        <v>106.7</v>
      </c>
      <c r="J32" s="50" t="s">
        <v>186</v>
      </c>
      <c r="K32" s="133">
        <v>3.22</v>
      </c>
      <c r="L32" s="133"/>
      <c r="M32" s="82">
        <v>0</v>
      </c>
      <c r="N32" s="82">
        <v>0.2</v>
      </c>
      <c r="O32" s="82">
        <v>15.6</v>
      </c>
      <c r="P32" s="82">
        <v>0.2</v>
      </c>
      <c r="Q32" s="82">
        <v>1</v>
      </c>
      <c r="R32" s="82">
        <v>66</v>
      </c>
      <c r="S32" s="82">
        <v>265</v>
      </c>
      <c r="T32" s="82">
        <v>34</v>
      </c>
      <c r="U32" s="82">
        <v>34</v>
      </c>
      <c r="V32" s="82">
        <v>131</v>
      </c>
      <c r="W32" s="82">
        <v>1</v>
      </c>
      <c r="X32" s="82">
        <v>11.7</v>
      </c>
      <c r="Y32" s="82">
        <v>2.2999999999999998</v>
      </c>
    </row>
    <row r="33" spans="1:25" s="47" customFormat="1" ht="22.05" customHeight="1" x14ac:dyDescent="0.3">
      <c r="A33" s="46"/>
      <c r="B33" s="230"/>
      <c r="C33" s="233" t="s">
        <v>41</v>
      </c>
      <c r="D33" s="234"/>
      <c r="E33" s="51">
        <v>200</v>
      </c>
      <c r="F33" s="52">
        <v>0.41</v>
      </c>
      <c r="G33" s="52">
        <v>0</v>
      </c>
      <c r="H33" s="52">
        <v>22.59</v>
      </c>
      <c r="I33" s="52">
        <v>92</v>
      </c>
      <c r="J33" s="53" t="s">
        <v>60</v>
      </c>
      <c r="K33" s="134">
        <v>36</v>
      </c>
      <c r="L33" s="134"/>
      <c r="M33" s="122">
        <v>0.02</v>
      </c>
      <c r="N33" s="122">
        <v>0.02</v>
      </c>
      <c r="O33" s="122">
        <v>0</v>
      </c>
      <c r="P33" s="122">
        <v>0.04</v>
      </c>
      <c r="Q33" s="122">
        <v>4</v>
      </c>
      <c r="R33" s="122">
        <v>12</v>
      </c>
      <c r="S33" s="122">
        <v>240</v>
      </c>
      <c r="T33" s="122">
        <v>14</v>
      </c>
      <c r="U33" s="122">
        <v>8</v>
      </c>
      <c r="V33" s="122">
        <v>14</v>
      </c>
      <c r="W33" s="122">
        <v>2.8</v>
      </c>
      <c r="X33" s="122">
        <v>2</v>
      </c>
      <c r="Y33" s="122">
        <v>0</v>
      </c>
    </row>
    <row r="34" spans="1:25" s="45" customFormat="1" ht="22.05" customHeight="1" x14ac:dyDescent="0.3">
      <c r="A34" s="20"/>
      <c r="B34" s="42"/>
      <c r="C34" s="228" t="s">
        <v>61</v>
      </c>
      <c r="D34" s="228"/>
      <c r="E34" s="44">
        <f>SUM(E28:E33)</f>
        <v>764</v>
      </c>
      <c r="F34" s="55">
        <f>SUM(F28:F33)</f>
        <v>17.344799999999999</v>
      </c>
      <c r="G34" s="55">
        <f>SUM(G28:G33)</f>
        <v>15.696400000000001</v>
      </c>
      <c r="H34" s="55">
        <f>SUM(H28:H33)</f>
        <v>92.434000000000012</v>
      </c>
      <c r="I34" s="55">
        <f>SUM(I28:I33)</f>
        <v>594.16360000000009</v>
      </c>
      <c r="J34" s="44"/>
      <c r="K34" s="55" t="e">
        <f>SUM(#REF!)</f>
        <v>#REF!</v>
      </c>
      <c r="L34" s="102"/>
      <c r="M34" s="102">
        <f>SUM(M28:M33)</f>
        <v>0.39660000000000001</v>
      </c>
      <c r="N34" s="102">
        <f t="shared" ref="N34:Y34" si="5">SUM(N28:N33)</f>
        <v>0.51190000000000002</v>
      </c>
      <c r="O34" s="102">
        <f t="shared" si="5"/>
        <v>61.6</v>
      </c>
      <c r="P34" s="102">
        <f t="shared" si="5"/>
        <v>4.2700000000000005</v>
      </c>
      <c r="Q34" s="102">
        <f t="shared" si="5"/>
        <v>12.084</v>
      </c>
      <c r="R34" s="102">
        <f t="shared" si="5"/>
        <v>1023.95</v>
      </c>
      <c r="S34" s="102">
        <f t="shared" si="5"/>
        <v>815.94</v>
      </c>
      <c r="T34" s="102">
        <f t="shared" si="5"/>
        <v>309.23</v>
      </c>
      <c r="U34" s="102">
        <f t="shared" si="5"/>
        <v>98.08</v>
      </c>
      <c r="V34" s="102">
        <f t="shared" si="5"/>
        <v>391.63</v>
      </c>
      <c r="W34" s="102">
        <f t="shared" si="5"/>
        <v>7.5169999999999995</v>
      </c>
      <c r="X34" s="102">
        <f t="shared" si="5"/>
        <v>40.4</v>
      </c>
      <c r="Y34" s="102">
        <f t="shared" si="5"/>
        <v>21.319999999999997</v>
      </c>
    </row>
    <row r="35" spans="1:25" s="19" customFormat="1" ht="22.05" customHeight="1" x14ac:dyDescent="0.3">
      <c r="A35" s="17"/>
      <c r="B35" s="95"/>
      <c r="C35" s="96"/>
      <c r="D35" s="97"/>
      <c r="E35" s="98"/>
      <c r="F35" s="98"/>
      <c r="G35" s="98"/>
      <c r="H35" s="98"/>
      <c r="I35" s="98"/>
      <c r="J35" s="100"/>
      <c r="K35" s="18"/>
      <c r="L35" s="18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</row>
    <row r="36" spans="1:25" ht="22.05" customHeight="1" x14ac:dyDescent="0.3">
      <c r="A36" s="12"/>
      <c r="B36" s="35"/>
      <c r="C36" s="87"/>
      <c r="D36" s="87"/>
      <c r="E36" s="14"/>
      <c r="F36" s="36"/>
      <c r="G36" s="36"/>
      <c r="H36" s="36"/>
      <c r="I36" s="36"/>
      <c r="J36" s="14"/>
      <c r="K36" s="5"/>
      <c r="L36" s="5"/>
    </row>
    <row r="37" spans="1:25" s="19" customFormat="1" ht="22.05" customHeight="1" x14ac:dyDescent="0.3">
      <c r="A37" s="17"/>
      <c r="B37" s="225" t="s">
        <v>59</v>
      </c>
      <c r="C37" s="225"/>
      <c r="D37" s="225"/>
      <c r="E37" s="225"/>
      <c r="F37" s="225"/>
      <c r="G37" s="225"/>
      <c r="H37" s="225"/>
      <c r="I37" s="225"/>
      <c r="J37" s="225"/>
      <c r="K37" s="225"/>
      <c r="L37" s="18"/>
      <c r="M37" s="285"/>
      <c r="N37" s="285"/>
      <c r="O37" s="285"/>
      <c r="P37" s="285"/>
      <c r="Q37" s="285"/>
      <c r="R37" s="285"/>
      <c r="S37" s="285"/>
      <c r="T37" s="285"/>
      <c r="U37" s="285"/>
      <c r="V37" s="285"/>
      <c r="W37" s="285"/>
      <c r="X37" s="285"/>
      <c r="Y37" s="285"/>
    </row>
    <row r="38" spans="1:25" s="19" customFormat="1" ht="22.05" customHeight="1" x14ac:dyDescent="0.3">
      <c r="A38" s="17"/>
      <c r="B38" s="231" t="s">
        <v>70</v>
      </c>
      <c r="C38" s="225" t="s">
        <v>1</v>
      </c>
      <c r="D38" s="225"/>
      <c r="E38" s="225" t="s">
        <v>2</v>
      </c>
      <c r="F38" s="225" t="s">
        <v>3</v>
      </c>
      <c r="G38" s="225"/>
      <c r="H38" s="225"/>
      <c r="I38" s="231" t="s">
        <v>142</v>
      </c>
      <c r="J38" s="225" t="s">
        <v>0</v>
      </c>
      <c r="K38" s="269" t="s">
        <v>180</v>
      </c>
      <c r="L38" s="153"/>
      <c r="M38" s="286" t="s">
        <v>156</v>
      </c>
      <c r="N38" s="287"/>
      <c r="O38" s="287"/>
      <c r="P38" s="287"/>
      <c r="Q38" s="287"/>
      <c r="R38" s="287"/>
      <c r="S38" s="287"/>
      <c r="T38" s="287"/>
      <c r="U38" s="287"/>
      <c r="V38" s="287"/>
      <c r="W38" s="287"/>
      <c r="X38" s="287"/>
      <c r="Y38" s="288"/>
    </row>
    <row r="39" spans="1:25" s="19" customFormat="1" ht="43.2" customHeight="1" x14ac:dyDescent="0.3">
      <c r="A39" s="17"/>
      <c r="B39" s="231"/>
      <c r="C39" s="225"/>
      <c r="D39" s="225"/>
      <c r="E39" s="225"/>
      <c r="F39" s="213" t="s">
        <v>139</v>
      </c>
      <c r="G39" s="213" t="s">
        <v>140</v>
      </c>
      <c r="H39" s="213" t="s">
        <v>141</v>
      </c>
      <c r="I39" s="231"/>
      <c r="J39" s="225"/>
      <c r="K39" s="269"/>
      <c r="L39" s="154"/>
      <c r="M39" s="289" t="s">
        <v>169</v>
      </c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290"/>
      <c r="Y39" s="291"/>
    </row>
    <row r="40" spans="1:25" s="19" customFormat="1" ht="22.05" customHeight="1" x14ac:dyDescent="0.3">
      <c r="A40" s="17"/>
      <c r="B40" s="268" t="s">
        <v>73</v>
      </c>
      <c r="C40" s="268"/>
      <c r="D40" s="268"/>
      <c r="E40" s="268"/>
      <c r="F40" s="268"/>
      <c r="G40" s="268"/>
      <c r="H40" s="268"/>
      <c r="I40" s="268"/>
      <c r="J40" s="268"/>
      <c r="K40" s="268"/>
      <c r="L40" s="161"/>
      <c r="M40" s="81" t="s">
        <v>143</v>
      </c>
      <c r="N40" s="81" t="s">
        <v>144</v>
      </c>
      <c r="O40" s="81" t="s">
        <v>145</v>
      </c>
      <c r="P40" s="81" t="s">
        <v>147</v>
      </c>
      <c r="Q40" s="81" t="s">
        <v>146</v>
      </c>
      <c r="R40" s="81" t="s">
        <v>148</v>
      </c>
      <c r="S40" s="81" t="s">
        <v>149</v>
      </c>
      <c r="T40" s="81" t="s">
        <v>150</v>
      </c>
      <c r="U40" s="81" t="s">
        <v>151</v>
      </c>
      <c r="V40" s="81" t="s">
        <v>152</v>
      </c>
      <c r="W40" s="81" t="s">
        <v>153</v>
      </c>
      <c r="X40" s="81" t="s">
        <v>154</v>
      </c>
      <c r="Y40" s="81" t="s">
        <v>155</v>
      </c>
    </row>
    <row r="41" spans="1:25" s="19" customFormat="1" ht="22.05" customHeight="1" x14ac:dyDescent="0.3">
      <c r="A41" s="17"/>
      <c r="B41" s="230" t="s">
        <v>4</v>
      </c>
      <c r="C41" s="224" t="s">
        <v>225</v>
      </c>
      <c r="D41" s="275"/>
      <c r="E41" s="48">
        <v>240</v>
      </c>
      <c r="F41" s="49">
        <v>10.1</v>
      </c>
      <c r="G41" s="49">
        <v>14.5</v>
      </c>
      <c r="H41" s="49">
        <v>47.4</v>
      </c>
      <c r="I41" s="49">
        <v>360</v>
      </c>
      <c r="J41" s="50" t="s">
        <v>224</v>
      </c>
      <c r="K41" s="133">
        <v>24.9</v>
      </c>
      <c r="L41" s="158"/>
      <c r="M41" s="82">
        <v>0.2</v>
      </c>
      <c r="N41" s="82">
        <v>0.18</v>
      </c>
      <c r="O41" s="82">
        <v>88</v>
      </c>
      <c r="P41" s="82">
        <v>0.9</v>
      </c>
      <c r="Q41" s="82">
        <v>0</v>
      </c>
      <c r="R41" s="82">
        <v>521.1</v>
      </c>
      <c r="S41" s="82">
        <v>532.6</v>
      </c>
      <c r="T41" s="82">
        <v>176</v>
      </c>
      <c r="U41" s="82">
        <v>82.3</v>
      </c>
      <c r="V41" s="82">
        <v>286.89999999999998</v>
      </c>
      <c r="W41" s="82">
        <v>2.2999999999999998</v>
      </c>
      <c r="X41" s="82">
        <v>56</v>
      </c>
      <c r="Y41" s="82">
        <v>17.100000000000001</v>
      </c>
    </row>
    <row r="42" spans="1:25" s="19" customFormat="1" ht="22.05" customHeight="1" x14ac:dyDescent="0.3">
      <c r="A42" s="17"/>
      <c r="B42" s="230"/>
      <c r="C42" s="224" t="s">
        <v>107</v>
      </c>
      <c r="D42" s="224"/>
      <c r="E42" s="48">
        <v>57</v>
      </c>
      <c r="F42" s="49">
        <f>F16/100*57</f>
        <v>1.9835999999999998</v>
      </c>
      <c r="G42" s="49">
        <f>G16/100*57</f>
        <v>0.36480000000000001</v>
      </c>
      <c r="H42" s="49">
        <f>H16/100*57</f>
        <v>12.198</v>
      </c>
      <c r="I42" s="49">
        <f>I16/100*57</f>
        <v>76.505400000000009</v>
      </c>
      <c r="J42" s="48" t="s">
        <v>60</v>
      </c>
      <c r="K42" s="133">
        <v>3.64</v>
      </c>
      <c r="L42" s="158"/>
      <c r="M42" s="82">
        <f>M16/40*57</f>
        <v>0.23370000000000002</v>
      </c>
      <c r="N42" s="82">
        <f t="shared" ref="N42:Y42" si="6">N16/40*57</f>
        <v>0.14392500000000003</v>
      </c>
      <c r="O42" s="82">
        <f t="shared" si="6"/>
        <v>0</v>
      </c>
      <c r="P42" s="82">
        <f t="shared" si="6"/>
        <v>3.1920000000000006</v>
      </c>
      <c r="Q42" s="82">
        <f t="shared" si="6"/>
        <v>0.114</v>
      </c>
      <c r="R42" s="82">
        <f t="shared" si="6"/>
        <v>269.60999999999996</v>
      </c>
      <c r="S42" s="82">
        <f t="shared" si="6"/>
        <v>71.25</v>
      </c>
      <c r="T42" s="82">
        <f t="shared" si="6"/>
        <v>2.7930000000000001</v>
      </c>
      <c r="U42" s="82">
        <f t="shared" si="6"/>
        <v>23.369999999999997</v>
      </c>
      <c r="V42" s="82">
        <f t="shared" si="6"/>
        <v>73.53</v>
      </c>
      <c r="W42" s="82">
        <f t="shared" si="6"/>
        <v>2.052</v>
      </c>
      <c r="X42" s="82">
        <f t="shared" si="6"/>
        <v>0</v>
      </c>
      <c r="Y42" s="82">
        <f t="shared" si="6"/>
        <v>16.416</v>
      </c>
    </row>
    <row r="43" spans="1:25" s="19" customFormat="1" ht="22.05" customHeight="1" x14ac:dyDescent="0.3">
      <c r="A43" s="17"/>
      <c r="B43" s="230"/>
      <c r="C43" s="224" t="s">
        <v>8</v>
      </c>
      <c r="D43" s="224"/>
      <c r="E43" s="48">
        <v>200</v>
      </c>
      <c r="F43" s="49">
        <v>3.8</v>
      </c>
      <c r="G43" s="49">
        <v>3.5</v>
      </c>
      <c r="H43" s="49">
        <v>11.1</v>
      </c>
      <c r="I43" s="49">
        <v>90.8</v>
      </c>
      <c r="J43" s="50" t="s">
        <v>7</v>
      </c>
      <c r="K43" s="156">
        <v>12.47</v>
      </c>
      <c r="L43" s="150"/>
      <c r="M43" s="82">
        <v>0.02</v>
      </c>
      <c r="N43" s="82">
        <v>0.11</v>
      </c>
      <c r="O43" s="82">
        <v>12</v>
      </c>
      <c r="P43" s="82">
        <v>0.2</v>
      </c>
      <c r="Q43" s="82">
        <v>0</v>
      </c>
      <c r="R43" s="82">
        <v>51</v>
      </c>
      <c r="S43" s="82">
        <v>221</v>
      </c>
      <c r="T43" s="82">
        <v>112</v>
      </c>
      <c r="U43" s="82">
        <v>30</v>
      </c>
      <c r="V43" s="82">
        <v>107</v>
      </c>
      <c r="W43" s="82">
        <v>1</v>
      </c>
      <c r="X43" s="82">
        <v>9</v>
      </c>
      <c r="Y43" s="82">
        <v>1.8</v>
      </c>
    </row>
    <row r="44" spans="1:25" s="19" customFormat="1" ht="22.05" customHeight="1" x14ac:dyDescent="0.3">
      <c r="A44" s="17"/>
      <c r="B44" s="230"/>
      <c r="C44" s="224" t="s">
        <v>88</v>
      </c>
      <c r="D44" s="278"/>
      <c r="E44" s="48">
        <v>75</v>
      </c>
      <c r="F44" s="49">
        <v>4.7</v>
      </c>
      <c r="G44" s="49">
        <v>0.7</v>
      </c>
      <c r="H44" s="49">
        <v>40.5</v>
      </c>
      <c r="I44" s="49">
        <v>188.3</v>
      </c>
      <c r="J44" s="50" t="s">
        <v>60</v>
      </c>
      <c r="K44" s="133">
        <v>30</v>
      </c>
      <c r="L44" s="158"/>
      <c r="M44" s="82">
        <v>0.14000000000000001</v>
      </c>
      <c r="N44" s="82">
        <v>7.0000000000000007E-2</v>
      </c>
      <c r="O44" s="82">
        <v>1.95</v>
      </c>
      <c r="P44" s="82">
        <v>1.75</v>
      </c>
      <c r="Q44" s="82">
        <v>1.67</v>
      </c>
      <c r="R44" s="82">
        <v>818.63</v>
      </c>
      <c r="S44" s="82">
        <v>172.73</v>
      </c>
      <c r="T44" s="82">
        <v>22.52</v>
      </c>
      <c r="U44" s="82">
        <v>11.79</v>
      </c>
      <c r="V44" s="82">
        <v>54.15</v>
      </c>
      <c r="W44" s="82">
        <v>1.49</v>
      </c>
      <c r="X44" s="82">
        <v>0.93</v>
      </c>
      <c r="Y44" s="82">
        <v>2.4900000000000002</v>
      </c>
    </row>
    <row r="45" spans="1:25" s="19" customFormat="1" ht="22.05" customHeight="1" x14ac:dyDescent="0.3">
      <c r="A45" s="17"/>
      <c r="B45" s="44"/>
      <c r="C45" s="228" t="s">
        <v>68</v>
      </c>
      <c r="D45" s="276"/>
      <c r="E45" s="44">
        <f>SUM(E41:E44)</f>
        <v>572</v>
      </c>
      <c r="F45" s="55">
        <f>SUM(F41:F44)</f>
        <v>20.583599999999997</v>
      </c>
      <c r="G45" s="55">
        <f>SUM(G41:G44)</f>
        <v>19.064800000000002</v>
      </c>
      <c r="H45" s="55">
        <f>SUM(H41:H44)</f>
        <v>111.19799999999999</v>
      </c>
      <c r="I45" s="55">
        <f>SUM(I41:I44)</f>
        <v>715.60539999999992</v>
      </c>
      <c r="J45" s="44"/>
      <c r="K45" s="55">
        <f>SUM(K41:K44)</f>
        <v>71.009999999999991</v>
      </c>
      <c r="L45" s="158"/>
      <c r="M45" s="102">
        <f t="shared" ref="M45:Y45" si="7">SUM(M41:M44)</f>
        <v>0.59370000000000012</v>
      </c>
      <c r="N45" s="102">
        <f t="shared" si="7"/>
        <v>0.50392499999999996</v>
      </c>
      <c r="O45" s="102">
        <f t="shared" si="7"/>
        <v>101.95</v>
      </c>
      <c r="P45" s="102">
        <f t="shared" si="7"/>
        <v>6.0420000000000007</v>
      </c>
      <c r="Q45" s="102">
        <f t="shared" si="7"/>
        <v>1.784</v>
      </c>
      <c r="R45" s="102">
        <f t="shared" si="7"/>
        <v>1660.3400000000001</v>
      </c>
      <c r="S45" s="102">
        <f t="shared" si="7"/>
        <v>997.58</v>
      </c>
      <c r="T45" s="102">
        <f t="shared" si="7"/>
        <v>313.31299999999999</v>
      </c>
      <c r="U45" s="102">
        <f t="shared" si="7"/>
        <v>147.45999999999998</v>
      </c>
      <c r="V45" s="102">
        <f t="shared" si="7"/>
        <v>521.57999999999993</v>
      </c>
      <c r="W45" s="102">
        <f t="shared" si="7"/>
        <v>6.8420000000000005</v>
      </c>
      <c r="X45" s="102">
        <f t="shared" si="7"/>
        <v>65.930000000000007</v>
      </c>
      <c r="Y45" s="102">
        <f t="shared" si="7"/>
        <v>37.806000000000004</v>
      </c>
    </row>
    <row r="46" spans="1:25" s="20" customFormat="1" ht="22.05" customHeight="1" x14ac:dyDescent="0.3">
      <c r="B46" s="230" t="s">
        <v>9</v>
      </c>
      <c r="C46" s="224" t="s">
        <v>194</v>
      </c>
      <c r="D46" s="224"/>
      <c r="E46" s="48">
        <v>60</v>
      </c>
      <c r="F46" s="49">
        <v>1.8</v>
      </c>
      <c r="G46" s="49">
        <v>0.2</v>
      </c>
      <c r="H46" s="49">
        <v>3.6</v>
      </c>
      <c r="I46" s="49">
        <v>22.2</v>
      </c>
      <c r="J46" s="50" t="s">
        <v>195</v>
      </c>
      <c r="K46" s="133">
        <v>27.88</v>
      </c>
      <c r="L46" s="133"/>
      <c r="M46" s="123">
        <v>0.04</v>
      </c>
      <c r="N46" s="123">
        <v>7.0000000000000007E-2</v>
      </c>
      <c r="O46" s="123">
        <v>1.8</v>
      </c>
      <c r="P46" s="123">
        <v>1</v>
      </c>
      <c r="Q46" s="123">
        <v>2.8</v>
      </c>
      <c r="R46" s="123">
        <v>439.2</v>
      </c>
      <c r="S46" s="123">
        <v>162.69999999999999</v>
      </c>
      <c r="T46" s="123">
        <v>53.3</v>
      </c>
      <c r="U46" s="123">
        <v>16.2</v>
      </c>
      <c r="V46" s="123">
        <v>51.5</v>
      </c>
      <c r="W46" s="123">
        <v>0.5</v>
      </c>
      <c r="X46" s="123">
        <v>0</v>
      </c>
      <c r="Y46" s="123">
        <v>0.7</v>
      </c>
    </row>
    <row r="47" spans="1:25" s="45" customFormat="1" ht="22.05" customHeight="1" x14ac:dyDescent="0.3">
      <c r="A47" s="20"/>
      <c r="B47" s="230"/>
      <c r="C47" s="224" t="s">
        <v>10</v>
      </c>
      <c r="D47" s="224"/>
      <c r="E47" s="48">
        <v>230</v>
      </c>
      <c r="F47" s="49">
        <v>10.7</v>
      </c>
      <c r="G47" s="49">
        <v>8.6</v>
      </c>
      <c r="H47" s="49">
        <v>56.4</v>
      </c>
      <c r="I47" s="49">
        <v>345.5</v>
      </c>
      <c r="J47" s="50" t="s">
        <v>62</v>
      </c>
      <c r="K47" s="133">
        <v>14.27</v>
      </c>
      <c r="L47" s="133"/>
      <c r="M47" s="82">
        <v>0.3</v>
      </c>
      <c r="N47" s="82">
        <v>0.2</v>
      </c>
      <c r="O47" s="82">
        <v>42.2</v>
      </c>
      <c r="P47" s="82">
        <v>6.1</v>
      </c>
      <c r="Q47" s="82">
        <v>0</v>
      </c>
      <c r="R47" s="82">
        <v>228.5</v>
      </c>
      <c r="S47" s="82">
        <v>335.8</v>
      </c>
      <c r="T47" s="82">
        <v>21.5</v>
      </c>
      <c r="U47" s="82">
        <v>184</v>
      </c>
      <c r="V47" s="82">
        <v>276</v>
      </c>
      <c r="W47" s="82">
        <v>6.1</v>
      </c>
      <c r="X47" s="82">
        <v>34.200000000000003</v>
      </c>
      <c r="Y47" s="82">
        <v>5.4</v>
      </c>
    </row>
    <row r="48" spans="1:25" s="45" customFormat="1" ht="22.05" customHeight="1" x14ac:dyDescent="0.3">
      <c r="A48" s="20"/>
      <c r="B48" s="230"/>
      <c r="C48" s="224" t="s">
        <v>157</v>
      </c>
      <c r="D48" s="224"/>
      <c r="E48" s="48">
        <v>120</v>
      </c>
      <c r="F48" s="49">
        <v>16.899999999999999</v>
      </c>
      <c r="G48" s="49">
        <v>7.6</v>
      </c>
      <c r="H48" s="49">
        <v>5.3</v>
      </c>
      <c r="I48" s="49">
        <v>157.69</v>
      </c>
      <c r="J48" s="50" t="s">
        <v>163</v>
      </c>
      <c r="K48" s="133">
        <v>40.92</v>
      </c>
      <c r="L48" s="133"/>
      <c r="M48" s="82">
        <v>0.05</v>
      </c>
      <c r="N48" s="82">
        <v>0.06</v>
      </c>
      <c r="O48" s="82">
        <v>349.2</v>
      </c>
      <c r="P48" s="82">
        <v>4.75</v>
      </c>
      <c r="Q48" s="82">
        <v>1.6</v>
      </c>
      <c r="R48" s="82">
        <v>297.60000000000002</v>
      </c>
      <c r="S48" s="82">
        <v>249.6</v>
      </c>
      <c r="T48" s="82">
        <v>26.4</v>
      </c>
      <c r="U48" s="82">
        <v>64.8</v>
      </c>
      <c r="V48" s="82">
        <v>134.4</v>
      </c>
      <c r="W48" s="82">
        <v>1.2</v>
      </c>
      <c r="X48" s="82">
        <v>42</v>
      </c>
      <c r="Y48" s="82">
        <v>14.4</v>
      </c>
    </row>
    <row r="49" spans="1:25" s="45" customFormat="1" ht="22.05" customHeight="1" x14ac:dyDescent="0.3">
      <c r="A49" s="20"/>
      <c r="B49" s="230"/>
      <c r="C49" s="224" t="s">
        <v>111</v>
      </c>
      <c r="D49" s="224"/>
      <c r="E49" s="48">
        <v>50</v>
      </c>
      <c r="F49" s="49">
        <f>F16/100*50</f>
        <v>1.7399999999999998</v>
      </c>
      <c r="G49" s="49">
        <f>G16/100*50</f>
        <v>0.32</v>
      </c>
      <c r="H49" s="49">
        <f>H16/100*50</f>
        <v>10.7</v>
      </c>
      <c r="I49" s="49">
        <f>I16/100*50</f>
        <v>67.11</v>
      </c>
      <c r="J49" s="48" t="s">
        <v>60</v>
      </c>
      <c r="K49" s="133">
        <v>3.64</v>
      </c>
      <c r="L49" s="133"/>
      <c r="M49" s="82">
        <f>M16/40*50</f>
        <v>0.20500000000000002</v>
      </c>
      <c r="N49" s="82">
        <f t="shared" ref="N49:Y49" si="8">N16/40*50</f>
        <v>0.12625000000000003</v>
      </c>
      <c r="O49" s="82">
        <f t="shared" si="8"/>
        <v>0</v>
      </c>
      <c r="P49" s="82">
        <f t="shared" si="8"/>
        <v>2.8000000000000003</v>
      </c>
      <c r="Q49" s="82">
        <f t="shared" si="8"/>
        <v>0.1</v>
      </c>
      <c r="R49" s="82">
        <f t="shared" si="8"/>
        <v>236.49999999999997</v>
      </c>
      <c r="S49" s="82">
        <f t="shared" si="8"/>
        <v>62.5</v>
      </c>
      <c r="T49" s="82">
        <f t="shared" si="8"/>
        <v>2.4500000000000002</v>
      </c>
      <c r="U49" s="82">
        <f t="shared" si="8"/>
        <v>20.5</v>
      </c>
      <c r="V49" s="82">
        <f t="shared" si="8"/>
        <v>64.5</v>
      </c>
      <c r="W49" s="82">
        <f t="shared" si="8"/>
        <v>1.7999999999999998</v>
      </c>
      <c r="X49" s="82">
        <f t="shared" si="8"/>
        <v>0</v>
      </c>
      <c r="Y49" s="82">
        <f t="shared" si="8"/>
        <v>14.399999999999999</v>
      </c>
    </row>
    <row r="50" spans="1:25" s="45" customFormat="1" ht="22.05" customHeight="1" x14ac:dyDescent="0.3">
      <c r="A50" s="20"/>
      <c r="B50" s="230"/>
      <c r="C50" s="224" t="s">
        <v>108</v>
      </c>
      <c r="D50" s="224"/>
      <c r="E50" s="48">
        <v>29</v>
      </c>
      <c r="F50" s="49">
        <f>F17/100*29</f>
        <v>0.55099999999999993</v>
      </c>
      <c r="G50" s="49">
        <f>G17/100*29</f>
        <v>0.1305</v>
      </c>
      <c r="H50" s="49">
        <f>H17/100*29</f>
        <v>7.25</v>
      </c>
      <c r="I50" s="49">
        <f>I17/100*29</f>
        <v>35.881700000000002</v>
      </c>
      <c r="J50" s="48" t="s">
        <v>60</v>
      </c>
      <c r="K50" s="133">
        <v>3.64</v>
      </c>
      <c r="L50" s="133"/>
      <c r="M50" s="82">
        <f>M17/40*29</f>
        <v>0.12325000000000001</v>
      </c>
      <c r="N50" s="82">
        <f t="shared" ref="N50:Y50" si="9">N17/40*29</f>
        <v>9.4250000000000014E-2</v>
      </c>
      <c r="O50" s="82">
        <f t="shared" si="9"/>
        <v>0</v>
      </c>
      <c r="P50" s="82">
        <f t="shared" si="9"/>
        <v>1.1019999999999999</v>
      </c>
      <c r="Q50" s="82">
        <f t="shared" si="9"/>
        <v>0.11600000000000001</v>
      </c>
      <c r="R50" s="82">
        <f t="shared" si="9"/>
        <v>174.86999999999998</v>
      </c>
      <c r="S50" s="82">
        <f t="shared" si="9"/>
        <v>21.169999999999998</v>
      </c>
      <c r="T50" s="82">
        <f t="shared" si="9"/>
        <v>0.34800000000000003</v>
      </c>
      <c r="U50" s="82">
        <f t="shared" si="9"/>
        <v>11.600000000000001</v>
      </c>
      <c r="V50" s="82">
        <f t="shared" si="9"/>
        <v>36.25</v>
      </c>
      <c r="W50" s="82">
        <f t="shared" si="9"/>
        <v>0.81924999999999992</v>
      </c>
      <c r="X50" s="82">
        <f t="shared" si="9"/>
        <v>0</v>
      </c>
      <c r="Y50" s="82">
        <f t="shared" si="9"/>
        <v>8.9610000000000003</v>
      </c>
    </row>
    <row r="51" spans="1:25" s="45" customFormat="1" ht="22.05" customHeight="1" x14ac:dyDescent="0.3">
      <c r="A51" s="20"/>
      <c r="B51" s="230"/>
      <c r="C51" s="224" t="s">
        <v>219</v>
      </c>
      <c r="D51" s="224"/>
      <c r="E51" s="48">
        <v>200</v>
      </c>
      <c r="F51" s="49">
        <v>0.2</v>
      </c>
      <c r="G51" s="49">
        <v>0.1</v>
      </c>
      <c r="H51" s="49">
        <v>12.5</v>
      </c>
      <c r="I51" s="49">
        <v>51.5</v>
      </c>
      <c r="J51" s="50" t="s">
        <v>158</v>
      </c>
      <c r="K51" s="133">
        <v>18.21</v>
      </c>
      <c r="L51" s="133"/>
      <c r="M51" s="82">
        <v>0.02</v>
      </c>
      <c r="N51" s="82">
        <v>0</v>
      </c>
      <c r="O51" s="82">
        <v>0.2</v>
      </c>
      <c r="P51" s="82">
        <v>0.1</v>
      </c>
      <c r="Q51" s="82">
        <v>1</v>
      </c>
      <c r="R51" s="82">
        <v>2</v>
      </c>
      <c r="S51" s="82">
        <v>23</v>
      </c>
      <c r="T51" s="82">
        <v>7</v>
      </c>
      <c r="U51" s="82">
        <v>1</v>
      </c>
      <c r="V51" s="82">
        <v>7</v>
      </c>
      <c r="W51" s="82">
        <v>0</v>
      </c>
      <c r="X51" s="82">
        <v>0</v>
      </c>
      <c r="Y51" s="82">
        <v>0</v>
      </c>
    </row>
    <row r="52" spans="1:25" s="45" customFormat="1" ht="22.05" customHeight="1" x14ac:dyDescent="0.3">
      <c r="A52" s="20"/>
      <c r="B52" s="42"/>
      <c r="C52" s="228" t="s">
        <v>61</v>
      </c>
      <c r="D52" s="228"/>
      <c r="E52" s="44">
        <f>SUM(E46:E51)</f>
        <v>689</v>
      </c>
      <c r="F52" s="55">
        <f>SUM(F46:F51)</f>
        <v>31.890999999999995</v>
      </c>
      <c r="G52" s="55">
        <f>SUM(G46:G51)</f>
        <v>16.950500000000002</v>
      </c>
      <c r="H52" s="55">
        <f>SUM(H46:H51)</f>
        <v>95.75</v>
      </c>
      <c r="I52" s="55">
        <f>SUM(I46:I51)</f>
        <v>679.88170000000002</v>
      </c>
      <c r="J52" s="44"/>
      <c r="K52" s="55" t="e">
        <f>SUM(#REF!)</f>
        <v>#REF!</v>
      </c>
      <c r="L52" s="102"/>
      <c r="M52" s="102">
        <f>SUM(M46:M51)</f>
        <v>0.73824999999999996</v>
      </c>
      <c r="N52" s="102">
        <f t="shared" ref="N52:Y52" si="10">SUM(N46:N51)</f>
        <v>0.5505000000000001</v>
      </c>
      <c r="O52" s="102">
        <f t="shared" si="10"/>
        <v>393.4</v>
      </c>
      <c r="P52" s="102">
        <f t="shared" si="10"/>
        <v>15.852</v>
      </c>
      <c r="Q52" s="102">
        <f t="shared" si="10"/>
        <v>5.6159999999999997</v>
      </c>
      <c r="R52" s="102">
        <f t="shared" si="10"/>
        <v>1378.6699999999998</v>
      </c>
      <c r="S52" s="102">
        <f t="shared" si="10"/>
        <v>854.77</v>
      </c>
      <c r="T52" s="102">
        <f t="shared" si="10"/>
        <v>110.99799999999999</v>
      </c>
      <c r="U52" s="102">
        <f t="shared" si="10"/>
        <v>298.10000000000002</v>
      </c>
      <c r="V52" s="102">
        <f t="shared" si="10"/>
        <v>569.65</v>
      </c>
      <c r="W52" s="102">
        <f t="shared" si="10"/>
        <v>10.41925</v>
      </c>
      <c r="X52" s="102">
        <f t="shared" si="10"/>
        <v>76.2</v>
      </c>
      <c r="Y52" s="102">
        <f t="shared" si="10"/>
        <v>43.860999999999997</v>
      </c>
    </row>
    <row r="53" spans="1:25" s="45" customFormat="1" ht="22.05" customHeight="1" x14ac:dyDescent="0.3">
      <c r="A53" s="20"/>
      <c r="B53" s="38"/>
      <c r="C53" s="39"/>
      <c r="D53" s="39"/>
      <c r="E53" s="89"/>
      <c r="F53" s="91"/>
      <c r="G53" s="91"/>
      <c r="H53" s="91"/>
      <c r="I53" s="91"/>
      <c r="J53" s="63"/>
      <c r="K53" s="91"/>
      <c r="L53" s="63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</row>
    <row r="54" spans="1:25" ht="22.05" customHeight="1" x14ac:dyDescent="0.3">
      <c r="A54" s="12"/>
      <c r="B54" s="35"/>
      <c r="C54" s="247"/>
      <c r="D54" s="247"/>
      <c r="E54" s="36"/>
      <c r="F54" s="36"/>
      <c r="G54" s="36"/>
      <c r="H54" s="36"/>
      <c r="I54" s="36"/>
      <c r="J54" s="15"/>
      <c r="K54" s="5"/>
      <c r="L54" s="5"/>
    </row>
    <row r="55" spans="1:25" s="19" customFormat="1" ht="22.05" customHeight="1" x14ac:dyDescent="0.3">
      <c r="A55" s="17"/>
      <c r="B55" s="225" t="s">
        <v>59</v>
      </c>
      <c r="C55" s="225"/>
      <c r="D55" s="225"/>
      <c r="E55" s="225"/>
      <c r="F55" s="225"/>
      <c r="G55" s="225"/>
      <c r="H55" s="225"/>
      <c r="I55" s="225"/>
      <c r="J55" s="225"/>
      <c r="K55" s="225"/>
      <c r="L55" s="18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297"/>
    </row>
    <row r="56" spans="1:25" s="19" customFormat="1" ht="22.05" customHeight="1" x14ac:dyDescent="0.3">
      <c r="A56" s="17"/>
      <c r="B56" s="231" t="s">
        <v>70</v>
      </c>
      <c r="C56" s="225" t="s">
        <v>1</v>
      </c>
      <c r="D56" s="225"/>
      <c r="E56" s="225" t="s">
        <v>2</v>
      </c>
      <c r="F56" s="225" t="s">
        <v>3</v>
      </c>
      <c r="G56" s="225"/>
      <c r="H56" s="225"/>
      <c r="I56" s="231" t="s">
        <v>142</v>
      </c>
      <c r="J56" s="225" t="s">
        <v>72</v>
      </c>
      <c r="K56" s="269" t="s">
        <v>180</v>
      </c>
      <c r="L56" s="153"/>
      <c r="M56" s="286" t="s">
        <v>156</v>
      </c>
      <c r="N56" s="287"/>
      <c r="O56" s="287"/>
      <c r="P56" s="287"/>
      <c r="Q56" s="287"/>
      <c r="R56" s="287"/>
      <c r="S56" s="287"/>
      <c r="T56" s="287"/>
      <c r="U56" s="287"/>
      <c r="V56" s="287"/>
      <c r="W56" s="287"/>
      <c r="X56" s="287"/>
      <c r="Y56" s="288"/>
    </row>
    <row r="57" spans="1:25" s="19" customFormat="1" ht="42.6" customHeight="1" x14ac:dyDescent="0.3">
      <c r="A57" s="17"/>
      <c r="B57" s="231"/>
      <c r="C57" s="225"/>
      <c r="D57" s="225"/>
      <c r="E57" s="225"/>
      <c r="F57" s="213" t="s">
        <v>139</v>
      </c>
      <c r="G57" s="213" t="s">
        <v>140</v>
      </c>
      <c r="H57" s="213" t="s">
        <v>141</v>
      </c>
      <c r="I57" s="231"/>
      <c r="J57" s="225"/>
      <c r="K57" s="269"/>
      <c r="L57" s="154"/>
      <c r="M57" s="289" t="s">
        <v>170</v>
      </c>
      <c r="N57" s="290"/>
      <c r="O57" s="290"/>
      <c r="P57" s="290"/>
      <c r="Q57" s="290"/>
      <c r="R57" s="290"/>
      <c r="S57" s="290"/>
      <c r="T57" s="290"/>
      <c r="U57" s="290"/>
      <c r="V57" s="290"/>
      <c r="W57" s="290"/>
      <c r="X57" s="290"/>
      <c r="Y57" s="291"/>
    </row>
    <row r="58" spans="1:25" s="19" customFormat="1" ht="22.05" customHeight="1" x14ac:dyDescent="0.3">
      <c r="A58" s="17"/>
      <c r="B58" s="268" t="s">
        <v>86</v>
      </c>
      <c r="C58" s="268"/>
      <c r="D58" s="268"/>
      <c r="E58" s="268"/>
      <c r="F58" s="268"/>
      <c r="G58" s="268"/>
      <c r="H58" s="268"/>
      <c r="I58" s="268"/>
      <c r="J58" s="268"/>
      <c r="K58" s="268"/>
      <c r="L58" s="161"/>
      <c r="M58" s="81" t="s">
        <v>143</v>
      </c>
      <c r="N58" s="81" t="s">
        <v>144</v>
      </c>
      <c r="O58" s="81" t="s">
        <v>145</v>
      </c>
      <c r="P58" s="81" t="s">
        <v>147</v>
      </c>
      <c r="Q58" s="81" t="s">
        <v>146</v>
      </c>
      <c r="R58" s="81" t="s">
        <v>148</v>
      </c>
      <c r="S58" s="81" t="s">
        <v>149</v>
      </c>
      <c r="T58" s="81" t="s">
        <v>150</v>
      </c>
      <c r="U58" s="81" t="s">
        <v>151</v>
      </c>
      <c r="V58" s="81" t="s">
        <v>152</v>
      </c>
      <c r="W58" s="81" t="s">
        <v>153</v>
      </c>
      <c r="X58" s="81" t="s">
        <v>154</v>
      </c>
      <c r="Y58" s="81" t="s">
        <v>155</v>
      </c>
    </row>
    <row r="59" spans="1:25" s="19" customFormat="1" ht="22.05" customHeight="1" x14ac:dyDescent="0.3">
      <c r="A59" s="17"/>
      <c r="B59" s="230" t="s">
        <v>4</v>
      </c>
      <c r="C59" s="224" t="s">
        <v>48</v>
      </c>
      <c r="D59" s="275"/>
      <c r="E59" s="48">
        <v>250</v>
      </c>
      <c r="F59" s="49">
        <v>8.9</v>
      </c>
      <c r="G59" s="49">
        <v>13.3</v>
      </c>
      <c r="H59" s="49">
        <v>57.5</v>
      </c>
      <c r="I59" s="49">
        <v>385.7</v>
      </c>
      <c r="J59" s="50" t="s">
        <v>47</v>
      </c>
      <c r="K59" s="133">
        <v>23.08</v>
      </c>
      <c r="L59" s="158"/>
      <c r="M59" s="82">
        <v>0.01</v>
      </c>
      <c r="N59" s="82">
        <v>0.17</v>
      </c>
      <c r="O59" s="82">
        <v>52.5</v>
      </c>
      <c r="P59" s="82">
        <v>0.7</v>
      </c>
      <c r="Q59" s="82">
        <v>1</v>
      </c>
      <c r="R59" s="82">
        <v>579</v>
      </c>
      <c r="S59" s="82">
        <v>291</v>
      </c>
      <c r="T59" s="82">
        <v>153</v>
      </c>
      <c r="U59" s="82">
        <v>38</v>
      </c>
      <c r="V59" s="82">
        <v>169</v>
      </c>
      <c r="W59" s="82">
        <v>2</v>
      </c>
      <c r="X59" s="82">
        <v>61.2</v>
      </c>
      <c r="Y59" s="82">
        <v>13</v>
      </c>
    </row>
    <row r="60" spans="1:25" s="19" customFormat="1" ht="22.05" customHeight="1" x14ac:dyDescent="0.3">
      <c r="A60" s="17"/>
      <c r="B60" s="230"/>
      <c r="C60" s="224" t="s">
        <v>16</v>
      </c>
      <c r="D60" s="224"/>
      <c r="E60" s="48">
        <v>15</v>
      </c>
      <c r="F60" s="49">
        <v>3.51</v>
      </c>
      <c r="G60" s="49">
        <v>4.5</v>
      </c>
      <c r="H60" s="49">
        <v>0</v>
      </c>
      <c r="I60" s="49">
        <v>54.5</v>
      </c>
      <c r="J60" s="50" t="s">
        <v>15</v>
      </c>
      <c r="K60" s="156">
        <v>10.97</v>
      </c>
      <c r="L60" s="150"/>
      <c r="M60" s="82">
        <v>0.01</v>
      </c>
      <c r="N60" s="82">
        <v>0.04</v>
      </c>
      <c r="O60" s="82">
        <v>39</v>
      </c>
      <c r="P60" s="82">
        <v>0.04</v>
      </c>
      <c r="Q60" s="82">
        <v>0</v>
      </c>
      <c r="R60" s="82">
        <v>150</v>
      </c>
      <c r="S60" s="82">
        <v>17</v>
      </c>
      <c r="T60" s="82">
        <v>150</v>
      </c>
      <c r="U60" s="82">
        <v>7</v>
      </c>
      <c r="V60" s="82">
        <v>82</v>
      </c>
      <c r="W60" s="82">
        <v>0</v>
      </c>
      <c r="X60" s="82">
        <v>0</v>
      </c>
      <c r="Y60" s="82">
        <v>0</v>
      </c>
    </row>
    <row r="61" spans="1:25" s="45" customFormat="1" ht="22.05" customHeight="1" x14ac:dyDescent="0.3">
      <c r="A61" s="20"/>
      <c r="B61" s="230"/>
      <c r="C61" s="224" t="s">
        <v>111</v>
      </c>
      <c r="D61" s="224"/>
      <c r="E61" s="48">
        <v>45</v>
      </c>
      <c r="F61" s="49">
        <f>F16/100*45</f>
        <v>1.5659999999999998</v>
      </c>
      <c r="G61" s="49">
        <f>G16/100*45</f>
        <v>0.28800000000000003</v>
      </c>
      <c r="H61" s="49">
        <f>H16/100*45</f>
        <v>9.629999999999999</v>
      </c>
      <c r="I61" s="49">
        <f>I16/100*45</f>
        <v>60.399000000000001</v>
      </c>
      <c r="J61" s="48" t="s">
        <v>60</v>
      </c>
      <c r="K61" s="133">
        <v>4.7300000000000004</v>
      </c>
      <c r="L61" s="133"/>
      <c r="M61" s="82">
        <f>M16/40*45</f>
        <v>0.18450000000000003</v>
      </c>
      <c r="N61" s="82">
        <f t="shared" ref="N61:Y61" si="11">N16/40*45</f>
        <v>0.11362500000000002</v>
      </c>
      <c r="O61" s="82">
        <f t="shared" si="11"/>
        <v>0</v>
      </c>
      <c r="P61" s="82">
        <f t="shared" si="11"/>
        <v>2.5200000000000005</v>
      </c>
      <c r="Q61" s="82">
        <f t="shared" si="11"/>
        <v>0.09</v>
      </c>
      <c r="R61" s="82">
        <f t="shared" si="11"/>
        <v>212.84999999999997</v>
      </c>
      <c r="S61" s="82">
        <f t="shared" si="11"/>
        <v>56.25</v>
      </c>
      <c r="T61" s="82">
        <f t="shared" si="11"/>
        <v>2.2050000000000001</v>
      </c>
      <c r="U61" s="82">
        <f t="shared" si="11"/>
        <v>18.45</v>
      </c>
      <c r="V61" s="82">
        <f t="shared" si="11"/>
        <v>58.050000000000004</v>
      </c>
      <c r="W61" s="82">
        <f t="shared" si="11"/>
        <v>1.6199999999999999</v>
      </c>
      <c r="X61" s="82">
        <f t="shared" si="11"/>
        <v>0</v>
      </c>
      <c r="Y61" s="82">
        <f t="shared" si="11"/>
        <v>12.959999999999999</v>
      </c>
    </row>
    <row r="62" spans="1:25" s="45" customFormat="1" ht="22.05" customHeight="1" x14ac:dyDescent="0.3">
      <c r="A62" s="20"/>
      <c r="B62" s="230"/>
      <c r="C62" s="224" t="s">
        <v>108</v>
      </c>
      <c r="D62" s="224"/>
      <c r="E62" s="48">
        <v>34</v>
      </c>
      <c r="F62" s="49">
        <f>F17/100*34</f>
        <v>0.64600000000000002</v>
      </c>
      <c r="G62" s="49">
        <f>G17/100*34</f>
        <v>0.15300000000000002</v>
      </c>
      <c r="H62" s="49">
        <f>H17/100*34</f>
        <v>8.5</v>
      </c>
      <c r="I62" s="49">
        <f>I17/100*34</f>
        <v>42.068200000000004</v>
      </c>
      <c r="J62" s="48" t="s">
        <v>60</v>
      </c>
      <c r="K62" s="133">
        <v>3.64</v>
      </c>
      <c r="L62" s="133"/>
      <c r="M62" s="82">
        <f>M17/40*34</f>
        <v>0.14450000000000002</v>
      </c>
      <c r="N62" s="82">
        <f t="shared" ref="N62:Y62" si="12">N17/40*34</f>
        <v>0.11050000000000001</v>
      </c>
      <c r="O62" s="82">
        <f t="shared" si="12"/>
        <v>0</v>
      </c>
      <c r="P62" s="82">
        <f t="shared" si="12"/>
        <v>1.292</v>
      </c>
      <c r="Q62" s="82">
        <f t="shared" si="12"/>
        <v>0.13600000000000001</v>
      </c>
      <c r="R62" s="82">
        <f t="shared" si="12"/>
        <v>205.01999999999998</v>
      </c>
      <c r="S62" s="82">
        <f t="shared" si="12"/>
        <v>24.82</v>
      </c>
      <c r="T62" s="82">
        <f t="shared" si="12"/>
        <v>0.40800000000000003</v>
      </c>
      <c r="U62" s="82">
        <f t="shared" si="12"/>
        <v>13.600000000000001</v>
      </c>
      <c r="V62" s="82">
        <f t="shared" si="12"/>
        <v>42.5</v>
      </c>
      <c r="W62" s="82">
        <f t="shared" si="12"/>
        <v>0.96049999999999991</v>
      </c>
      <c r="X62" s="82">
        <f t="shared" si="12"/>
        <v>0</v>
      </c>
      <c r="Y62" s="82">
        <f t="shared" si="12"/>
        <v>10.506</v>
      </c>
    </row>
    <row r="63" spans="1:25" s="19" customFormat="1" ht="22.05" customHeight="1" x14ac:dyDescent="0.3">
      <c r="A63" s="17"/>
      <c r="B63" s="230"/>
      <c r="C63" s="224" t="s">
        <v>23</v>
      </c>
      <c r="D63" s="224"/>
      <c r="E63" s="48">
        <v>200</v>
      </c>
      <c r="F63" s="49">
        <v>0.2</v>
      </c>
      <c r="G63" s="49">
        <v>0</v>
      </c>
      <c r="H63" s="49">
        <v>6.4</v>
      </c>
      <c r="I63" s="49">
        <v>26.4</v>
      </c>
      <c r="J63" s="50" t="s">
        <v>22</v>
      </c>
      <c r="K63" s="156">
        <v>1.22</v>
      </c>
      <c r="L63" s="150"/>
      <c r="M63" s="82">
        <v>0</v>
      </c>
      <c r="N63" s="82">
        <v>0</v>
      </c>
      <c r="O63" s="82">
        <v>0</v>
      </c>
      <c r="P63" s="82">
        <v>0.1</v>
      </c>
      <c r="Q63" s="82">
        <v>0</v>
      </c>
      <c r="R63" s="82">
        <v>1</v>
      </c>
      <c r="S63" s="82">
        <v>25</v>
      </c>
      <c r="T63" s="82">
        <v>4</v>
      </c>
      <c r="U63" s="82">
        <v>4</v>
      </c>
      <c r="V63" s="82">
        <v>7</v>
      </c>
      <c r="W63" s="82">
        <v>1</v>
      </c>
      <c r="X63" s="82">
        <v>0</v>
      </c>
      <c r="Y63" s="82">
        <v>0</v>
      </c>
    </row>
    <row r="64" spans="1:25" s="19" customFormat="1" ht="22.05" customHeight="1" x14ac:dyDescent="0.3">
      <c r="A64" s="17"/>
      <c r="B64" s="230"/>
      <c r="C64" s="224" t="s">
        <v>191</v>
      </c>
      <c r="D64" s="224"/>
      <c r="E64" s="48">
        <v>15</v>
      </c>
      <c r="F64" s="49">
        <v>1.05</v>
      </c>
      <c r="G64" s="49">
        <v>5.0999999999999996</v>
      </c>
      <c r="H64" s="49">
        <v>7.95</v>
      </c>
      <c r="I64" s="49">
        <v>82.5</v>
      </c>
      <c r="J64" s="48" t="s">
        <v>60</v>
      </c>
      <c r="K64" s="156">
        <v>18</v>
      </c>
      <c r="L64" s="150"/>
      <c r="M64" s="82">
        <v>0.01</v>
      </c>
      <c r="N64" s="82">
        <v>7.0000000000000007E-2</v>
      </c>
      <c r="O64" s="82">
        <v>3.3</v>
      </c>
      <c r="P64" s="82">
        <v>0.39</v>
      </c>
      <c r="Q64" s="82">
        <v>0</v>
      </c>
      <c r="R64" s="82">
        <v>20.399999999999999</v>
      </c>
      <c r="S64" s="82">
        <v>69.3</v>
      </c>
      <c r="T64" s="82">
        <v>52.8</v>
      </c>
      <c r="U64" s="82">
        <v>10.199999999999999</v>
      </c>
      <c r="V64" s="82">
        <v>46.35</v>
      </c>
      <c r="W64" s="82">
        <v>0.23</v>
      </c>
      <c r="X64" s="82">
        <v>0</v>
      </c>
      <c r="Y64" s="82">
        <v>0</v>
      </c>
    </row>
    <row r="65" spans="1:25" s="19" customFormat="1" ht="22.05" customHeight="1" x14ac:dyDescent="0.3">
      <c r="A65" s="17"/>
      <c r="B65" s="65"/>
      <c r="C65" s="272" t="s">
        <v>65</v>
      </c>
      <c r="D65" s="273"/>
      <c r="E65" s="66">
        <f>SUM(E59:E64)</f>
        <v>559</v>
      </c>
      <c r="F65" s="68">
        <f>SUM(F59:F64)</f>
        <v>15.872</v>
      </c>
      <c r="G65" s="68">
        <f>SUM(G59:G64)</f>
        <v>23.341000000000001</v>
      </c>
      <c r="H65" s="68">
        <f>SUM(H59:H64)</f>
        <v>89.98</v>
      </c>
      <c r="I65" s="68">
        <f>SUM(I59:I64)</f>
        <v>651.56719999999996</v>
      </c>
      <c r="J65" s="67"/>
      <c r="K65" s="55">
        <f>SUM(K59:K64)</f>
        <v>61.64</v>
      </c>
      <c r="L65" s="158"/>
      <c r="M65" s="102">
        <f t="shared" ref="M65:Y65" si="13">SUM(M59:M64)</f>
        <v>0.35900000000000004</v>
      </c>
      <c r="N65" s="102">
        <f t="shared" si="13"/>
        <v>0.50412500000000016</v>
      </c>
      <c r="O65" s="102">
        <f t="shared" si="13"/>
        <v>94.8</v>
      </c>
      <c r="P65" s="102">
        <f t="shared" si="13"/>
        <v>5.0419999999999998</v>
      </c>
      <c r="Q65" s="102">
        <f t="shared" si="13"/>
        <v>1.226</v>
      </c>
      <c r="R65" s="102">
        <f t="shared" si="13"/>
        <v>1168.27</v>
      </c>
      <c r="S65" s="102">
        <f t="shared" si="13"/>
        <v>483.37</v>
      </c>
      <c r="T65" s="102">
        <f t="shared" si="13"/>
        <v>362.41300000000001</v>
      </c>
      <c r="U65" s="102">
        <f t="shared" si="13"/>
        <v>91.250000000000014</v>
      </c>
      <c r="V65" s="102">
        <f t="shared" si="13"/>
        <v>404.90000000000003</v>
      </c>
      <c r="W65" s="102">
        <f t="shared" si="13"/>
        <v>5.8105000000000002</v>
      </c>
      <c r="X65" s="102">
        <f t="shared" si="13"/>
        <v>61.2</v>
      </c>
      <c r="Y65" s="102">
        <f t="shared" si="13"/>
        <v>36.466000000000001</v>
      </c>
    </row>
    <row r="66" spans="1:25" s="113" customFormat="1" ht="22.05" customHeight="1" x14ac:dyDescent="0.3">
      <c r="A66" s="20"/>
      <c r="B66" s="230" t="s">
        <v>9</v>
      </c>
      <c r="C66" s="232" t="s">
        <v>196</v>
      </c>
      <c r="D66" s="232"/>
      <c r="E66" s="48">
        <v>80</v>
      </c>
      <c r="F66" s="49">
        <v>0.39</v>
      </c>
      <c r="G66" s="49">
        <v>3.08</v>
      </c>
      <c r="H66" s="49">
        <v>2.23</v>
      </c>
      <c r="I66" s="49">
        <v>37.869999999999997</v>
      </c>
      <c r="J66" s="50" t="s">
        <v>197</v>
      </c>
      <c r="K66" s="133">
        <v>20.61</v>
      </c>
      <c r="L66" s="133"/>
      <c r="M66" s="112">
        <v>0.05</v>
      </c>
      <c r="N66" s="112">
        <v>0.05</v>
      </c>
      <c r="O66" s="112">
        <v>114.49</v>
      </c>
      <c r="P66" s="112">
        <v>0.36</v>
      </c>
      <c r="Q66" s="112">
        <v>19.559999999999999</v>
      </c>
      <c r="R66" s="112">
        <v>165.33</v>
      </c>
      <c r="S66" s="112">
        <v>236.44</v>
      </c>
      <c r="T66" s="112">
        <v>33.770000000000003</v>
      </c>
      <c r="U66" s="112">
        <v>17.77</v>
      </c>
      <c r="V66" s="112">
        <v>32</v>
      </c>
      <c r="W66" s="112">
        <v>0</v>
      </c>
      <c r="X66" s="112">
        <v>16.53</v>
      </c>
      <c r="Y66" s="112">
        <v>0.36</v>
      </c>
    </row>
    <row r="67" spans="1:25" s="45" customFormat="1" ht="22.05" customHeight="1" x14ac:dyDescent="0.3">
      <c r="A67" s="20"/>
      <c r="B67" s="230"/>
      <c r="C67" s="232" t="s">
        <v>29</v>
      </c>
      <c r="D67" s="232"/>
      <c r="E67" s="48">
        <v>200</v>
      </c>
      <c r="F67" s="49">
        <v>4.8</v>
      </c>
      <c r="G67" s="49">
        <v>7</v>
      </c>
      <c r="H67" s="49">
        <v>50.7</v>
      </c>
      <c r="I67" s="49">
        <v>284.7</v>
      </c>
      <c r="J67" s="50" t="s">
        <v>28</v>
      </c>
      <c r="K67" s="133">
        <v>15.4</v>
      </c>
      <c r="L67" s="133"/>
      <c r="M67" s="82">
        <v>0.04</v>
      </c>
      <c r="N67" s="82">
        <v>0.02</v>
      </c>
      <c r="O67" s="82">
        <v>27</v>
      </c>
      <c r="P67" s="82">
        <v>0.9</v>
      </c>
      <c r="Q67" s="82">
        <v>0</v>
      </c>
      <c r="R67" s="82">
        <v>275</v>
      </c>
      <c r="S67" s="82">
        <v>41</v>
      </c>
      <c r="T67" s="82">
        <v>20</v>
      </c>
      <c r="U67" s="82">
        <v>14</v>
      </c>
      <c r="V67" s="82">
        <v>62</v>
      </c>
      <c r="W67" s="82">
        <v>1</v>
      </c>
      <c r="X67" s="82">
        <v>26.7</v>
      </c>
      <c r="Y67" s="82">
        <v>9.6999999999999993</v>
      </c>
    </row>
    <row r="68" spans="1:25" s="45" customFormat="1" ht="22.05" customHeight="1" x14ac:dyDescent="0.3">
      <c r="A68" s="20"/>
      <c r="B68" s="230"/>
      <c r="C68" s="224" t="s">
        <v>160</v>
      </c>
      <c r="D68" s="224"/>
      <c r="E68" s="48">
        <v>100</v>
      </c>
      <c r="F68" s="49">
        <v>11.6</v>
      </c>
      <c r="G68" s="49">
        <v>6.1</v>
      </c>
      <c r="H68" s="49">
        <v>5.3</v>
      </c>
      <c r="I68" s="49">
        <v>122.3</v>
      </c>
      <c r="J68" s="50" t="s">
        <v>51</v>
      </c>
      <c r="K68" s="133">
        <v>42.96</v>
      </c>
      <c r="L68" s="133"/>
      <c r="M68" s="82">
        <v>7.0000000000000007E-2</v>
      </c>
      <c r="N68" s="82">
        <v>0.11</v>
      </c>
      <c r="O68" s="82">
        <v>60</v>
      </c>
      <c r="P68" s="82">
        <v>1</v>
      </c>
      <c r="Q68" s="82">
        <v>1.4</v>
      </c>
      <c r="R68" s="82">
        <v>130</v>
      </c>
      <c r="S68" s="82">
        <v>457.1</v>
      </c>
      <c r="T68" s="82">
        <v>21.4</v>
      </c>
      <c r="U68" s="82">
        <v>54.3</v>
      </c>
      <c r="V68" s="82">
        <v>27.1</v>
      </c>
      <c r="W68" s="82">
        <v>0</v>
      </c>
      <c r="X68" s="82">
        <v>143.6</v>
      </c>
      <c r="Y68" s="82">
        <v>12.1</v>
      </c>
    </row>
    <row r="69" spans="1:25" s="45" customFormat="1" ht="22.05" customHeight="1" x14ac:dyDescent="0.3">
      <c r="A69" s="20"/>
      <c r="B69" s="230"/>
      <c r="C69" s="224" t="s">
        <v>107</v>
      </c>
      <c r="D69" s="224"/>
      <c r="E69" s="48">
        <v>50</v>
      </c>
      <c r="F69" s="49">
        <f>F16/100*50</f>
        <v>1.7399999999999998</v>
      </c>
      <c r="G69" s="49">
        <f>G16/100*50</f>
        <v>0.32</v>
      </c>
      <c r="H69" s="49">
        <f>H16/100*50</f>
        <v>10.7</v>
      </c>
      <c r="I69" s="49">
        <f>I16/100*50</f>
        <v>67.11</v>
      </c>
      <c r="J69" s="48" t="s">
        <v>60</v>
      </c>
      <c r="K69" s="133">
        <v>4.7300000000000004</v>
      </c>
      <c r="L69" s="133"/>
      <c r="M69" s="82">
        <f>M16/40*50</f>
        <v>0.20500000000000002</v>
      </c>
      <c r="N69" s="82">
        <f t="shared" ref="N69:Y69" si="14">N16/40*50</f>
        <v>0.12625000000000003</v>
      </c>
      <c r="O69" s="82">
        <f t="shared" si="14"/>
        <v>0</v>
      </c>
      <c r="P69" s="82">
        <f t="shared" si="14"/>
        <v>2.8000000000000003</v>
      </c>
      <c r="Q69" s="82">
        <f t="shared" si="14"/>
        <v>0.1</v>
      </c>
      <c r="R69" s="82">
        <f t="shared" si="14"/>
        <v>236.49999999999997</v>
      </c>
      <c r="S69" s="82">
        <f t="shared" si="14"/>
        <v>62.5</v>
      </c>
      <c r="T69" s="82">
        <f t="shared" si="14"/>
        <v>2.4500000000000002</v>
      </c>
      <c r="U69" s="82">
        <f t="shared" si="14"/>
        <v>20.5</v>
      </c>
      <c r="V69" s="82">
        <f t="shared" si="14"/>
        <v>64.5</v>
      </c>
      <c r="W69" s="82">
        <f t="shared" si="14"/>
        <v>1.7999999999999998</v>
      </c>
      <c r="X69" s="82">
        <f t="shared" si="14"/>
        <v>0</v>
      </c>
      <c r="Y69" s="82">
        <f t="shared" si="14"/>
        <v>14.399999999999999</v>
      </c>
    </row>
    <row r="70" spans="1:25" s="45" customFormat="1" ht="22.05" customHeight="1" x14ac:dyDescent="0.3">
      <c r="A70" s="20"/>
      <c r="B70" s="230"/>
      <c r="C70" s="224" t="s">
        <v>115</v>
      </c>
      <c r="D70" s="224"/>
      <c r="E70" s="48">
        <v>39</v>
      </c>
      <c r="F70" s="49">
        <f>F17/100*39</f>
        <v>0.74099999999999999</v>
      </c>
      <c r="G70" s="49">
        <f>G17/100*39</f>
        <v>0.17550000000000002</v>
      </c>
      <c r="H70" s="49">
        <f>H17/100*39</f>
        <v>9.75</v>
      </c>
      <c r="I70" s="49">
        <f>I17/100*39</f>
        <v>48.2547</v>
      </c>
      <c r="J70" s="48" t="s">
        <v>60</v>
      </c>
      <c r="K70" s="133">
        <v>3.64</v>
      </c>
      <c r="L70" s="133"/>
      <c r="M70" s="82">
        <f>M17/40*39</f>
        <v>0.16575000000000001</v>
      </c>
      <c r="N70" s="82">
        <f t="shared" ref="N70:Y70" si="15">N17/40*39</f>
        <v>0.12675</v>
      </c>
      <c r="O70" s="82">
        <f t="shared" si="15"/>
        <v>0</v>
      </c>
      <c r="P70" s="82">
        <f t="shared" si="15"/>
        <v>1.482</v>
      </c>
      <c r="Q70" s="82">
        <f t="shared" si="15"/>
        <v>0.156</v>
      </c>
      <c r="R70" s="82">
        <f t="shared" si="15"/>
        <v>235.17</v>
      </c>
      <c r="S70" s="82">
        <f t="shared" si="15"/>
        <v>28.47</v>
      </c>
      <c r="T70" s="82">
        <f t="shared" si="15"/>
        <v>0.46800000000000003</v>
      </c>
      <c r="U70" s="82">
        <f t="shared" si="15"/>
        <v>15.600000000000001</v>
      </c>
      <c r="V70" s="82">
        <f t="shared" si="15"/>
        <v>48.75</v>
      </c>
      <c r="W70" s="82">
        <f t="shared" si="15"/>
        <v>1.10175</v>
      </c>
      <c r="X70" s="82">
        <f t="shared" si="15"/>
        <v>0</v>
      </c>
      <c r="Y70" s="82">
        <f t="shared" si="15"/>
        <v>12.051</v>
      </c>
    </row>
    <row r="71" spans="1:25" s="45" customFormat="1" ht="22.05" customHeight="1" x14ac:dyDescent="0.3">
      <c r="A71" s="20"/>
      <c r="B71" s="230"/>
      <c r="C71" s="224" t="s">
        <v>182</v>
      </c>
      <c r="D71" s="224"/>
      <c r="E71" s="48">
        <v>200</v>
      </c>
      <c r="F71" s="49">
        <v>0.6</v>
      </c>
      <c r="G71" s="49">
        <v>0</v>
      </c>
      <c r="H71" s="49">
        <v>22.7</v>
      </c>
      <c r="I71" s="49">
        <v>93.2</v>
      </c>
      <c r="J71" s="50" t="s">
        <v>31</v>
      </c>
      <c r="K71" s="133">
        <v>5.67</v>
      </c>
      <c r="L71" s="133"/>
      <c r="M71" s="82">
        <v>1</v>
      </c>
      <c r="N71" s="82">
        <v>18.3</v>
      </c>
      <c r="O71" s="82">
        <v>0.06</v>
      </c>
      <c r="P71" s="82">
        <v>0</v>
      </c>
      <c r="Q71" s="82">
        <v>0</v>
      </c>
      <c r="R71" s="82">
        <v>0</v>
      </c>
      <c r="S71" s="82">
        <v>0</v>
      </c>
      <c r="T71" s="82">
        <v>60</v>
      </c>
      <c r="U71" s="82">
        <v>3</v>
      </c>
      <c r="V71" s="82">
        <v>5</v>
      </c>
      <c r="W71" s="82">
        <v>0</v>
      </c>
      <c r="X71" s="82">
        <v>0</v>
      </c>
      <c r="Y71" s="82">
        <v>0</v>
      </c>
    </row>
    <row r="72" spans="1:25" s="45" customFormat="1" ht="22.05" customHeight="1" x14ac:dyDescent="0.3">
      <c r="A72" s="20"/>
      <c r="B72" s="42"/>
      <c r="C72" s="228" t="s">
        <v>61</v>
      </c>
      <c r="D72" s="228"/>
      <c r="E72" s="44">
        <f>SUM(E66:E71)</f>
        <v>669</v>
      </c>
      <c r="F72" s="55">
        <f>SUM(F66:F71)</f>
        <v>19.870999999999999</v>
      </c>
      <c r="G72" s="55">
        <f>SUM(G66:G71)</f>
        <v>16.6755</v>
      </c>
      <c r="H72" s="55">
        <f>SUM(H66:H71)</f>
        <v>101.38</v>
      </c>
      <c r="I72" s="55">
        <f>SUM(I66:I71)</f>
        <v>653.43470000000002</v>
      </c>
      <c r="J72" s="44"/>
      <c r="K72" s="55" t="e">
        <f>SUM(#REF!)</f>
        <v>#REF!</v>
      </c>
      <c r="L72" s="102"/>
      <c r="M72" s="102">
        <f>SUM(M66:M71)</f>
        <v>1.5307500000000001</v>
      </c>
      <c r="N72" s="102">
        <f t="shared" ref="N72:Y72" si="16">SUM(N66:N71)</f>
        <v>18.733000000000001</v>
      </c>
      <c r="O72" s="102">
        <f t="shared" si="16"/>
        <v>201.55</v>
      </c>
      <c r="P72" s="102">
        <f t="shared" si="16"/>
        <v>6.5420000000000007</v>
      </c>
      <c r="Q72" s="102">
        <f t="shared" si="16"/>
        <v>21.215999999999998</v>
      </c>
      <c r="R72" s="102">
        <f t="shared" si="16"/>
        <v>1042</v>
      </c>
      <c r="S72" s="102">
        <f t="shared" si="16"/>
        <v>825.51</v>
      </c>
      <c r="T72" s="102">
        <f t="shared" si="16"/>
        <v>138.08800000000002</v>
      </c>
      <c r="U72" s="102">
        <f t="shared" si="16"/>
        <v>125.16999999999999</v>
      </c>
      <c r="V72" s="102">
        <f t="shared" si="16"/>
        <v>239.35</v>
      </c>
      <c r="W72" s="102">
        <f t="shared" si="16"/>
        <v>3.9017499999999998</v>
      </c>
      <c r="X72" s="102">
        <f t="shared" si="16"/>
        <v>186.82999999999998</v>
      </c>
      <c r="Y72" s="102">
        <f t="shared" si="16"/>
        <v>48.610999999999997</v>
      </c>
    </row>
    <row r="73" spans="1:25" ht="22.05" customHeight="1" x14ac:dyDescent="0.3">
      <c r="A73" s="12"/>
      <c r="B73" s="35"/>
      <c r="C73" s="87"/>
      <c r="D73" s="87"/>
      <c r="E73" s="14"/>
      <c r="F73" s="36"/>
      <c r="G73" s="36"/>
      <c r="H73" s="36"/>
      <c r="I73" s="36"/>
      <c r="J73" s="14"/>
      <c r="K73" s="159"/>
      <c r="L73" s="159"/>
    </row>
    <row r="74" spans="1:25" ht="22.05" customHeight="1" x14ac:dyDescent="0.3">
      <c r="A74" s="12"/>
      <c r="B74" s="35"/>
      <c r="C74" s="87"/>
      <c r="D74" s="87"/>
      <c r="E74" s="14"/>
      <c r="F74" s="36"/>
      <c r="G74" s="36"/>
      <c r="H74" s="36"/>
      <c r="I74" s="36"/>
      <c r="J74" s="14"/>
      <c r="K74" s="5"/>
      <c r="L74" s="5"/>
    </row>
    <row r="75" spans="1:25" s="19" customFormat="1" ht="22.05" customHeight="1" x14ac:dyDescent="0.3">
      <c r="A75" s="17"/>
      <c r="B75" s="225" t="s">
        <v>59</v>
      </c>
      <c r="C75" s="225"/>
      <c r="D75" s="225"/>
      <c r="E75" s="225"/>
      <c r="F75" s="225"/>
      <c r="G75" s="225"/>
      <c r="H75" s="225"/>
      <c r="I75" s="225"/>
      <c r="J75" s="225"/>
      <c r="K75" s="225"/>
      <c r="L75" s="18"/>
      <c r="M75" s="285"/>
      <c r="N75" s="285"/>
      <c r="O75" s="285"/>
      <c r="P75" s="285"/>
      <c r="Q75" s="285"/>
      <c r="R75" s="285"/>
      <c r="S75" s="285"/>
      <c r="T75" s="285"/>
      <c r="U75" s="285"/>
      <c r="V75" s="285"/>
      <c r="W75" s="285"/>
      <c r="X75" s="285"/>
      <c r="Y75" s="285"/>
    </row>
    <row r="76" spans="1:25" s="19" customFormat="1" ht="22.05" customHeight="1" x14ac:dyDescent="0.3">
      <c r="A76" s="17"/>
      <c r="B76" s="231" t="s">
        <v>70</v>
      </c>
      <c r="C76" s="225" t="s">
        <v>1</v>
      </c>
      <c r="D76" s="225"/>
      <c r="E76" s="225" t="s">
        <v>2</v>
      </c>
      <c r="F76" s="225" t="s">
        <v>3</v>
      </c>
      <c r="G76" s="225"/>
      <c r="H76" s="225"/>
      <c r="I76" s="231" t="s">
        <v>142</v>
      </c>
      <c r="J76" s="225" t="s">
        <v>72</v>
      </c>
      <c r="K76" s="269" t="s">
        <v>180</v>
      </c>
      <c r="L76" s="153"/>
      <c r="M76" s="286" t="s">
        <v>156</v>
      </c>
      <c r="N76" s="287"/>
      <c r="O76" s="287"/>
      <c r="P76" s="287"/>
      <c r="Q76" s="287"/>
      <c r="R76" s="287"/>
      <c r="S76" s="287"/>
      <c r="T76" s="287"/>
      <c r="U76" s="287"/>
      <c r="V76" s="287"/>
      <c r="W76" s="287"/>
      <c r="X76" s="287"/>
      <c r="Y76" s="288"/>
    </row>
    <row r="77" spans="1:25" s="19" customFormat="1" ht="43.2" customHeight="1" x14ac:dyDescent="0.3">
      <c r="A77" s="17"/>
      <c r="B77" s="231"/>
      <c r="C77" s="225"/>
      <c r="D77" s="225"/>
      <c r="E77" s="225"/>
      <c r="F77" s="213" t="s">
        <v>139</v>
      </c>
      <c r="G77" s="213" t="s">
        <v>140</v>
      </c>
      <c r="H77" s="213" t="s">
        <v>141</v>
      </c>
      <c r="I77" s="231"/>
      <c r="J77" s="225"/>
      <c r="K77" s="269"/>
      <c r="L77" s="154"/>
      <c r="M77" s="289" t="s">
        <v>171</v>
      </c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1"/>
    </row>
    <row r="78" spans="1:25" s="19" customFormat="1" ht="22.05" customHeight="1" x14ac:dyDescent="0.3">
      <c r="A78" s="17"/>
      <c r="B78" s="268" t="s">
        <v>74</v>
      </c>
      <c r="C78" s="268"/>
      <c r="D78" s="268"/>
      <c r="E78" s="268"/>
      <c r="F78" s="268"/>
      <c r="G78" s="268"/>
      <c r="H78" s="268"/>
      <c r="I78" s="268"/>
      <c r="J78" s="268"/>
      <c r="K78" s="268"/>
      <c r="L78" s="161"/>
      <c r="M78" s="81" t="s">
        <v>143</v>
      </c>
      <c r="N78" s="81" t="s">
        <v>144</v>
      </c>
      <c r="O78" s="81" t="s">
        <v>145</v>
      </c>
      <c r="P78" s="81" t="s">
        <v>147</v>
      </c>
      <c r="Q78" s="81" t="s">
        <v>146</v>
      </c>
      <c r="R78" s="81" t="s">
        <v>148</v>
      </c>
      <c r="S78" s="81" t="s">
        <v>149</v>
      </c>
      <c r="T78" s="81" t="s">
        <v>150</v>
      </c>
      <c r="U78" s="81" t="s">
        <v>151</v>
      </c>
      <c r="V78" s="81" t="s">
        <v>152</v>
      </c>
      <c r="W78" s="81" t="s">
        <v>153</v>
      </c>
      <c r="X78" s="81" t="s">
        <v>154</v>
      </c>
      <c r="Y78" s="81" t="s">
        <v>155</v>
      </c>
    </row>
    <row r="79" spans="1:25" s="19" customFormat="1" ht="22.05" customHeight="1" x14ac:dyDescent="0.3">
      <c r="A79" s="17"/>
      <c r="B79" s="230" t="s">
        <v>4</v>
      </c>
      <c r="C79" s="224" t="s">
        <v>67</v>
      </c>
      <c r="D79" s="275"/>
      <c r="E79" s="48">
        <v>200</v>
      </c>
      <c r="F79" s="49">
        <v>16.8</v>
      </c>
      <c r="G79" s="49">
        <v>25.8</v>
      </c>
      <c r="H79" s="49">
        <v>4.2</v>
      </c>
      <c r="I79" s="49">
        <v>316.10000000000002</v>
      </c>
      <c r="J79" s="50" t="s">
        <v>66</v>
      </c>
      <c r="K79" s="133">
        <v>49.56</v>
      </c>
      <c r="L79" s="158"/>
      <c r="M79" s="82">
        <v>0.08</v>
      </c>
      <c r="N79" s="82">
        <v>0.5</v>
      </c>
      <c r="O79" s="82">
        <v>240</v>
      </c>
      <c r="P79" s="82">
        <v>0.3</v>
      </c>
      <c r="Q79" s="82">
        <v>0</v>
      </c>
      <c r="R79" s="82">
        <v>446</v>
      </c>
      <c r="S79" s="82">
        <v>288</v>
      </c>
      <c r="T79" s="82">
        <v>148</v>
      </c>
      <c r="U79" s="82">
        <v>23</v>
      </c>
      <c r="V79" s="82">
        <v>270</v>
      </c>
      <c r="W79" s="82">
        <v>3</v>
      </c>
      <c r="X79" s="82">
        <v>56</v>
      </c>
      <c r="Y79" s="82">
        <v>34.799999999999997</v>
      </c>
    </row>
    <row r="80" spans="1:25" s="19" customFormat="1" ht="22.05" customHeight="1" x14ac:dyDescent="0.3">
      <c r="A80" s="17"/>
      <c r="B80" s="230"/>
      <c r="C80" s="224" t="s">
        <v>16</v>
      </c>
      <c r="D80" s="224"/>
      <c r="E80" s="48">
        <v>15</v>
      </c>
      <c r="F80" s="49">
        <v>3.51</v>
      </c>
      <c r="G80" s="49">
        <v>4.5</v>
      </c>
      <c r="H80" s="49">
        <v>0</v>
      </c>
      <c r="I80" s="49">
        <v>54.5</v>
      </c>
      <c r="J80" s="50" t="s">
        <v>15</v>
      </c>
      <c r="K80" s="156">
        <v>10.97</v>
      </c>
      <c r="L80" s="150"/>
      <c r="M80" s="82">
        <v>0.01</v>
      </c>
      <c r="N80" s="82">
        <v>0.04</v>
      </c>
      <c r="O80" s="82">
        <v>39</v>
      </c>
      <c r="P80" s="82">
        <v>0.04</v>
      </c>
      <c r="Q80" s="82">
        <v>0</v>
      </c>
      <c r="R80" s="82">
        <v>150</v>
      </c>
      <c r="S80" s="82">
        <v>17</v>
      </c>
      <c r="T80" s="82">
        <v>150</v>
      </c>
      <c r="U80" s="82">
        <v>7</v>
      </c>
      <c r="V80" s="82">
        <v>82</v>
      </c>
      <c r="W80" s="82">
        <v>0</v>
      </c>
      <c r="X80" s="82">
        <v>0</v>
      </c>
      <c r="Y80" s="82">
        <v>0</v>
      </c>
    </row>
    <row r="81" spans="1:25" s="19" customFormat="1" ht="22.05" customHeight="1" x14ac:dyDescent="0.3">
      <c r="A81" s="17"/>
      <c r="B81" s="230"/>
      <c r="C81" s="224" t="s">
        <v>111</v>
      </c>
      <c r="D81" s="224"/>
      <c r="E81" s="48">
        <v>52</v>
      </c>
      <c r="F81" s="49">
        <f>F16/100*52</f>
        <v>1.8095999999999999</v>
      </c>
      <c r="G81" s="49">
        <f>G16/100*52</f>
        <v>0.33280000000000004</v>
      </c>
      <c r="H81" s="49">
        <f>H16/100*52</f>
        <v>11.128</v>
      </c>
      <c r="I81" s="49">
        <f>I16/100*52</f>
        <v>69.794399999999996</v>
      </c>
      <c r="J81" s="48" t="s">
        <v>60</v>
      </c>
      <c r="K81" s="133">
        <v>4.55</v>
      </c>
      <c r="L81" s="158"/>
      <c r="M81" s="82">
        <f>M16/40*52</f>
        <v>0.21320000000000003</v>
      </c>
      <c r="N81" s="82">
        <f t="shared" ref="N81:Y81" si="17">N16/40*52</f>
        <v>0.13130000000000003</v>
      </c>
      <c r="O81" s="82">
        <f t="shared" si="17"/>
        <v>0</v>
      </c>
      <c r="P81" s="82">
        <f t="shared" si="17"/>
        <v>2.9120000000000004</v>
      </c>
      <c r="Q81" s="82">
        <f t="shared" si="17"/>
        <v>0.10400000000000001</v>
      </c>
      <c r="R81" s="82">
        <f t="shared" si="17"/>
        <v>245.95999999999998</v>
      </c>
      <c r="S81" s="82">
        <f t="shared" si="17"/>
        <v>65</v>
      </c>
      <c r="T81" s="82">
        <f t="shared" si="17"/>
        <v>2.548</v>
      </c>
      <c r="U81" s="82">
        <f t="shared" si="17"/>
        <v>21.32</v>
      </c>
      <c r="V81" s="82">
        <f t="shared" si="17"/>
        <v>67.08</v>
      </c>
      <c r="W81" s="82">
        <f t="shared" si="17"/>
        <v>1.8719999999999999</v>
      </c>
      <c r="X81" s="82">
        <f t="shared" si="17"/>
        <v>0</v>
      </c>
      <c r="Y81" s="82">
        <f t="shared" si="17"/>
        <v>14.975999999999999</v>
      </c>
    </row>
    <row r="82" spans="1:25" s="19" customFormat="1" ht="30" customHeight="1" x14ac:dyDescent="0.3">
      <c r="A82" s="17"/>
      <c r="B82" s="230"/>
      <c r="C82" s="267" t="s">
        <v>18</v>
      </c>
      <c r="D82" s="267"/>
      <c r="E82" s="48">
        <v>200</v>
      </c>
      <c r="F82" s="49">
        <v>0.3</v>
      </c>
      <c r="G82" s="49">
        <v>0</v>
      </c>
      <c r="H82" s="49">
        <v>6.7</v>
      </c>
      <c r="I82" s="49">
        <v>27.6</v>
      </c>
      <c r="J82" s="50" t="s">
        <v>17</v>
      </c>
      <c r="K82" s="206">
        <v>3.22</v>
      </c>
      <c r="L82" s="207"/>
      <c r="M82" s="208">
        <v>0</v>
      </c>
      <c r="N82" s="208">
        <v>0.01</v>
      </c>
      <c r="O82" s="208">
        <v>0</v>
      </c>
      <c r="P82" s="208">
        <v>7.0000000000000007E-2</v>
      </c>
      <c r="Q82" s="208">
        <v>1</v>
      </c>
      <c r="R82" s="208">
        <v>2</v>
      </c>
      <c r="S82" s="208">
        <v>36</v>
      </c>
      <c r="T82" s="208">
        <v>6</v>
      </c>
      <c r="U82" s="208">
        <v>5</v>
      </c>
      <c r="V82" s="208">
        <v>8</v>
      </c>
      <c r="W82" s="208">
        <v>1</v>
      </c>
      <c r="X82" s="208">
        <v>0</v>
      </c>
      <c r="Y82" s="208">
        <v>0</v>
      </c>
    </row>
    <row r="83" spans="1:25" s="19" customFormat="1" ht="22.05" customHeight="1" x14ac:dyDescent="0.3">
      <c r="A83" s="17"/>
      <c r="B83" s="65"/>
      <c r="C83" s="272" t="s">
        <v>65</v>
      </c>
      <c r="D83" s="273"/>
      <c r="E83" s="66">
        <f>SUM(E79:E82)</f>
        <v>467</v>
      </c>
      <c r="F83" s="68">
        <f>SUM(F79:F82)</f>
        <v>22.419600000000003</v>
      </c>
      <c r="G83" s="68">
        <f>SUM(G79:G82)</f>
        <v>30.6328</v>
      </c>
      <c r="H83" s="68">
        <f>SUM(H79:H82)</f>
        <v>22.027999999999999</v>
      </c>
      <c r="I83" s="68">
        <f>SUM(I79:I82)</f>
        <v>467.99440000000004</v>
      </c>
      <c r="J83" s="67"/>
      <c r="K83" s="55">
        <f>SUM(K79:K82)</f>
        <v>68.3</v>
      </c>
      <c r="L83" s="158"/>
      <c r="M83" s="102">
        <f t="shared" ref="M83:Y83" si="18">SUM(M79:M82)</f>
        <v>0.30320000000000003</v>
      </c>
      <c r="N83" s="102">
        <f t="shared" si="18"/>
        <v>0.68130000000000002</v>
      </c>
      <c r="O83" s="102">
        <f t="shared" si="18"/>
        <v>279</v>
      </c>
      <c r="P83" s="102">
        <f t="shared" si="18"/>
        <v>3.3220000000000001</v>
      </c>
      <c r="Q83" s="102">
        <f t="shared" si="18"/>
        <v>1.1040000000000001</v>
      </c>
      <c r="R83" s="102">
        <f t="shared" si="18"/>
        <v>843.96</v>
      </c>
      <c r="S83" s="102">
        <f t="shared" si="18"/>
        <v>406</v>
      </c>
      <c r="T83" s="102">
        <f t="shared" si="18"/>
        <v>306.548</v>
      </c>
      <c r="U83" s="102">
        <f t="shared" si="18"/>
        <v>56.32</v>
      </c>
      <c r="V83" s="102">
        <f t="shared" si="18"/>
        <v>427.08</v>
      </c>
      <c r="W83" s="102">
        <f t="shared" si="18"/>
        <v>5.8719999999999999</v>
      </c>
      <c r="X83" s="102">
        <f t="shared" si="18"/>
        <v>56</v>
      </c>
      <c r="Y83" s="102">
        <f t="shared" si="18"/>
        <v>49.775999999999996</v>
      </c>
    </row>
    <row r="84" spans="1:25" s="113" customFormat="1" ht="22.05" customHeight="1" x14ac:dyDescent="0.3">
      <c r="A84" s="20"/>
      <c r="B84" s="230" t="s">
        <v>9</v>
      </c>
      <c r="C84" s="224" t="s">
        <v>198</v>
      </c>
      <c r="D84" s="224"/>
      <c r="E84" s="48">
        <v>100</v>
      </c>
      <c r="F84" s="49">
        <v>1.1100000000000001</v>
      </c>
      <c r="G84" s="49">
        <v>3.34</v>
      </c>
      <c r="H84" s="49">
        <v>7.96</v>
      </c>
      <c r="I84" s="49">
        <v>65.8</v>
      </c>
      <c r="J84" s="50">
        <v>15</v>
      </c>
      <c r="K84" s="133">
        <v>12.83</v>
      </c>
      <c r="L84" s="133"/>
      <c r="M84" s="112">
        <v>0.03</v>
      </c>
      <c r="N84" s="112">
        <v>0.04</v>
      </c>
      <c r="O84" s="112">
        <v>0</v>
      </c>
      <c r="P84" s="112">
        <v>0</v>
      </c>
      <c r="Q84" s="112">
        <v>6.3</v>
      </c>
      <c r="R84" s="112">
        <v>0</v>
      </c>
      <c r="S84" s="112">
        <v>0</v>
      </c>
      <c r="T84" s="112">
        <v>34.520000000000003</v>
      </c>
      <c r="U84" s="112">
        <v>18.260000000000002</v>
      </c>
      <c r="V84" s="112">
        <v>30.16</v>
      </c>
      <c r="W84" s="112">
        <v>0.9</v>
      </c>
      <c r="X84" s="112">
        <v>0</v>
      </c>
      <c r="Y84" s="112">
        <v>0</v>
      </c>
    </row>
    <row r="85" spans="1:25" s="45" customFormat="1" ht="22.05" customHeight="1" x14ac:dyDescent="0.3">
      <c r="A85" s="20"/>
      <c r="B85" s="230"/>
      <c r="C85" s="232" t="s">
        <v>33</v>
      </c>
      <c r="D85" s="232"/>
      <c r="E85" s="48">
        <v>200</v>
      </c>
      <c r="F85" s="49">
        <v>4.0999999999999996</v>
      </c>
      <c r="G85" s="49">
        <v>7.6</v>
      </c>
      <c r="H85" s="49">
        <v>31.5</v>
      </c>
      <c r="I85" s="49">
        <v>211.1</v>
      </c>
      <c r="J85" s="50" t="s">
        <v>32</v>
      </c>
      <c r="K85" s="133">
        <v>22.09</v>
      </c>
      <c r="L85" s="133"/>
      <c r="M85" s="82">
        <v>0.16</v>
      </c>
      <c r="N85" s="82">
        <v>0.1</v>
      </c>
      <c r="O85" s="82">
        <v>31</v>
      </c>
      <c r="P85" s="82">
        <v>1.3</v>
      </c>
      <c r="Q85" s="82">
        <v>13</v>
      </c>
      <c r="R85" s="82">
        <v>319</v>
      </c>
      <c r="S85" s="82">
        <v>1003</v>
      </c>
      <c r="T85" s="82">
        <v>54</v>
      </c>
      <c r="U85" s="82">
        <v>39</v>
      </c>
      <c r="V85" s="82">
        <v>111</v>
      </c>
      <c r="W85" s="82">
        <v>1</v>
      </c>
      <c r="X85" s="82">
        <v>38</v>
      </c>
      <c r="Y85" s="82">
        <v>1.1000000000000001</v>
      </c>
    </row>
    <row r="86" spans="1:25" s="113" customFormat="1" ht="28.2" customHeight="1" x14ac:dyDescent="0.3">
      <c r="A86" s="14"/>
      <c r="B86" s="230"/>
      <c r="C86" s="224" t="s">
        <v>222</v>
      </c>
      <c r="D86" s="224"/>
      <c r="E86" s="48">
        <v>140</v>
      </c>
      <c r="F86" s="49">
        <v>16.2</v>
      </c>
      <c r="G86" s="49">
        <v>13.5</v>
      </c>
      <c r="H86" s="49">
        <v>9.5</v>
      </c>
      <c r="I86" s="49">
        <v>223.5</v>
      </c>
      <c r="J86" s="50" t="s">
        <v>21</v>
      </c>
      <c r="K86" s="133">
        <v>52.84</v>
      </c>
      <c r="L86" s="133"/>
      <c r="M86" s="112">
        <v>0.04</v>
      </c>
      <c r="N86" s="112">
        <v>0.1</v>
      </c>
      <c r="O86" s="112">
        <v>1.9</v>
      </c>
      <c r="P86" s="112">
        <v>2.1</v>
      </c>
      <c r="Q86" s="112">
        <v>0</v>
      </c>
      <c r="R86" s="112">
        <v>295.8</v>
      </c>
      <c r="S86" s="112">
        <v>310.39999999999998</v>
      </c>
      <c r="T86" s="112">
        <v>29.4</v>
      </c>
      <c r="U86" s="112">
        <v>20.8</v>
      </c>
      <c r="V86" s="112">
        <v>172.4</v>
      </c>
      <c r="W86" s="112">
        <v>2.4</v>
      </c>
      <c r="X86" s="112">
        <v>32.700000000000003</v>
      </c>
      <c r="Y86" s="112">
        <v>1.8</v>
      </c>
    </row>
    <row r="87" spans="1:25" s="45" customFormat="1" ht="22.05" customHeight="1" x14ac:dyDescent="0.3">
      <c r="A87" s="20"/>
      <c r="B87" s="230"/>
      <c r="C87" s="224" t="s">
        <v>111</v>
      </c>
      <c r="D87" s="224"/>
      <c r="E87" s="48">
        <v>50</v>
      </c>
      <c r="F87" s="49">
        <f>F16/100*50</f>
        <v>1.7399999999999998</v>
      </c>
      <c r="G87" s="49">
        <f>G16/100*50</f>
        <v>0.32</v>
      </c>
      <c r="H87" s="49">
        <f>H16/100*50</f>
        <v>10.7</v>
      </c>
      <c r="I87" s="49">
        <f>I16/100*50</f>
        <v>67.11</v>
      </c>
      <c r="J87" s="48" t="s">
        <v>60</v>
      </c>
      <c r="K87" s="133">
        <v>2.91</v>
      </c>
      <c r="L87" s="133"/>
      <c r="M87" s="82">
        <f>M16/40*50</f>
        <v>0.20500000000000002</v>
      </c>
      <c r="N87" s="82">
        <f t="shared" ref="N87:Y87" si="19">N16/40*50</f>
        <v>0.12625000000000003</v>
      </c>
      <c r="O87" s="82">
        <f t="shared" si="19"/>
        <v>0</v>
      </c>
      <c r="P87" s="82">
        <f t="shared" si="19"/>
        <v>2.8000000000000003</v>
      </c>
      <c r="Q87" s="82">
        <f t="shared" si="19"/>
        <v>0.1</v>
      </c>
      <c r="R87" s="82">
        <f t="shared" si="19"/>
        <v>236.49999999999997</v>
      </c>
      <c r="S87" s="82">
        <f t="shared" si="19"/>
        <v>62.5</v>
      </c>
      <c r="T87" s="82">
        <f t="shared" si="19"/>
        <v>2.4500000000000002</v>
      </c>
      <c r="U87" s="82">
        <f t="shared" si="19"/>
        <v>20.5</v>
      </c>
      <c r="V87" s="82">
        <f t="shared" si="19"/>
        <v>64.5</v>
      </c>
      <c r="W87" s="82">
        <f t="shared" si="19"/>
        <v>1.7999999999999998</v>
      </c>
      <c r="X87" s="82">
        <f t="shared" si="19"/>
        <v>0</v>
      </c>
      <c r="Y87" s="82">
        <f t="shared" si="19"/>
        <v>14.399999999999999</v>
      </c>
    </row>
    <row r="88" spans="1:25" s="45" customFormat="1" ht="22.05" customHeight="1" x14ac:dyDescent="0.3">
      <c r="A88" s="20"/>
      <c r="B88" s="230"/>
      <c r="C88" s="224" t="s">
        <v>115</v>
      </c>
      <c r="D88" s="224"/>
      <c r="E88" s="48">
        <v>33</v>
      </c>
      <c r="F88" s="49">
        <f>F17/100*33</f>
        <v>0.627</v>
      </c>
      <c r="G88" s="49">
        <f>G17/100*33</f>
        <v>0.14850000000000002</v>
      </c>
      <c r="H88" s="49">
        <f>H17/100*33</f>
        <v>8.25</v>
      </c>
      <c r="I88" s="49">
        <f>I17/100*33</f>
        <v>40.8309</v>
      </c>
      <c r="J88" s="48" t="s">
        <v>60</v>
      </c>
      <c r="K88" s="133">
        <v>2.73</v>
      </c>
      <c r="L88" s="133"/>
      <c r="M88" s="82">
        <f>M17/40*33</f>
        <v>0.14025000000000001</v>
      </c>
      <c r="N88" s="82">
        <f t="shared" ref="N88:Y88" si="20">N17/40*33</f>
        <v>0.10725000000000001</v>
      </c>
      <c r="O88" s="82">
        <f t="shared" si="20"/>
        <v>0</v>
      </c>
      <c r="P88" s="82">
        <f t="shared" si="20"/>
        <v>1.254</v>
      </c>
      <c r="Q88" s="82">
        <f t="shared" si="20"/>
        <v>0.13200000000000001</v>
      </c>
      <c r="R88" s="82">
        <f t="shared" si="20"/>
        <v>198.98999999999998</v>
      </c>
      <c r="S88" s="82">
        <f t="shared" si="20"/>
        <v>24.09</v>
      </c>
      <c r="T88" s="82">
        <f t="shared" si="20"/>
        <v>0.39600000000000002</v>
      </c>
      <c r="U88" s="82">
        <f t="shared" si="20"/>
        <v>13.200000000000001</v>
      </c>
      <c r="V88" s="82">
        <f t="shared" si="20"/>
        <v>41.25</v>
      </c>
      <c r="W88" s="82">
        <f t="shared" si="20"/>
        <v>0.93224999999999991</v>
      </c>
      <c r="X88" s="82">
        <f t="shared" si="20"/>
        <v>0</v>
      </c>
      <c r="Y88" s="82">
        <f t="shared" si="20"/>
        <v>10.196999999999999</v>
      </c>
    </row>
    <row r="89" spans="1:25" s="45" customFormat="1" ht="22.05" customHeight="1" x14ac:dyDescent="0.3">
      <c r="A89" s="20"/>
      <c r="B89" s="230"/>
      <c r="C89" s="224" t="s">
        <v>23</v>
      </c>
      <c r="D89" s="224"/>
      <c r="E89" s="48">
        <v>200</v>
      </c>
      <c r="F89" s="49">
        <v>0.2</v>
      </c>
      <c r="G89" s="49">
        <v>0</v>
      </c>
      <c r="H89" s="49">
        <v>6.4</v>
      </c>
      <c r="I89" s="49">
        <v>26.4</v>
      </c>
      <c r="J89" s="50" t="s">
        <v>22</v>
      </c>
      <c r="K89" s="133">
        <v>8.5299999999999994</v>
      </c>
      <c r="L89" s="133"/>
      <c r="M89" s="82">
        <v>0</v>
      </c>
      <c r="N89" s="82">
        <v>0</v>
      </c>
      <c r="O89" s="82">
        <v>0</v>
      </c>
      <c r="P89" s="82">
        <v>0.1</v>
      </c>
      <c r="Q89" s="82">
        <v>0</v>
      </c>
      <c r="R89" s="82">
        <v>1</v>
      </c>
      <c r="S89" s="82">
        <v>25</v>
      </c>
      <c r="T89" s="82">
        <v>4</v>
      </c>
      <c r="U89" s="82">
        <v>4</v>
      </c>
      <c r="V89" s="82">
        <v>7</v>
      </c>
      <c r="W89" s="82">
        <v>1</v>
      </c>
      <c r="X89" s="82">
        <v>0</v>
      </c>
      <c r="Y89" s="82">
        <v>0</v>
      </c>
    </row>
    <row r="90" spans="1:25" s="20" customFormat="1" ht="22.05" customHeight="1" x14ac:dyDescent="0.3">
      <c r="B90" s="42"/>
      <c r="C90" s="228" t="s">
        <v>61</v>
      </c>
      <c r="D90" s="228"/>
      <c r="E90" s="44">
        <f>SUM(E84:E89)</f>
        <v>723</v>
      </c>
      <c r="F90" s="55">
        <f>SUM(F84:F89)</f>
        <v>23.976999999999997</v>
      </c>
      <c r="G90" s="55">
        <f>SUM(G84:G89)</f>
        <v>24.908499999999997</v>
      </c>
      <c r="H90" s="55">
        <f>SUM(H84:H89)</f>
        <v>74.31</v>
      </c>
      <c r="I90" s="55">
        <f>SUM(I84:I89)</f>
        <v>634.74090000000001</v>
      </c>
      <c r="J90" s="44"/>
      <c r="K90" s="55" t="e">
        <f>SUM(#REF!)</f>
        <v>#REF!</v>
      </c>
      <c r="L90" s="133"/>
      <c r="M90" s="103">
        <f>SUM(M84:M89)</f>
        <v>0.57525000000000004</v>
      </c>
      <c r="N90" s="103">
        <f t="shared" ref="N90:Y90" si="21">SUM(N84:N89)</f>
        <v>0.47350000000000009</v>
      </c>
      <c r="O90" s="103">
        <f t="shared" si="21"/>
        <v>32.9</v>
      </c>
      <c r="P90" s="103">
        <f t="shared" si="21"/>
        <v>7.5540000000000003</v>
      </c>
      <c r="Q90" s="103">
        <f t="shared" si="21"/>
        <v>19.532000000000004</v>
      </c>
      <c r="R90" s="103">
        <f t="shared" si="21"/>
        <v>1051.29</v>
      </c>
      <c r="S90" s="103">
        <f t="shared" si="21"/>
        <v>1424.99</v>
      </c>
      <c r="T90" s="103">
        <f t="shared" si="21"/>
        <v>124.76600000000002</v>
      </c>
      <c r="U90" s="103">
        <f t="shared" si="21"/>
        <v>115.76</v>
      </c>
      <c r="V90" s="103">
        <f t="shared" si="21"/>
        <v>426.31</v>
      </c>
      <c r="W90" s="103">
        <f t="shared" si="21"/>
        <v>8.0322499999999994</v>
      </c>
      <c r="X90" s="103">
        <f t="shared" si="21"/>
        <v>70.7</v>
      </c>
      <c r="Y90" s="103">
        <f t="shared" si="21"/>
        <v>27.496999999999996</v>
      </c>
    </row>
    <row r="91" spans="1:25" s="19" customFormat="1" ht="22.05" customHeight="1" x14ac:dyDescent="0.3">
      <c r="A91" s="17"/>
      <c r="B91" s="95"/>
      <c r="C91" s="96"/>
      <c r="D91" s="97"/>
      <c r="E91" s="98"/>
      <c r="F91" s="99"/>
      <c r="G91" s="99"/>
      <c r="H91" s="99"/>
      <c r="I91" s="99"/>
      <c r="J91" s="100"/>
      <c r="K91" s="160"/>
      <c r="L91" s="160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</row>
    <row r="92" spans="1:25" s="1" customFormat="1" ht="22.05" customHeight="1" x14ac:dyDescent="0.3">
      <c r="A92" s="12"/>
      <c r="B92" s="35"/>
      <c r="C92" s="87"/>
      <c r="D92" s="87"/>
      <c r="E92" s="14"/>
      <c r="F92" s="36"/>
      <c r="G92" s="36"/>
      <c r="H92" s="36"/>
      <c r="I92" s="36"/>
      <c r="J92" s="14"/>
      <c r="K92" s="5"/>
      <c r="L92" s="5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</row>
    <row r="93" spans="1:25" s="19" customFormat="1" ht="22.05" customHeight="1" x14ac:dyDescent="0.3">
      <c r="A93" s="17"/>
      <c r="B93" s="225" t="s">
        <v>161</v>
      </c>
      <c r="C93" s="225"/>
      <c r="D93" s="225"/>
      <c r="E93" s="225"/>
      <c r="F93" s="225"/>
      <c r="G93" s="225"/>
      <c r="H93" s="225"/>
      <c r="I93" s="225"/>
      <c r="J93" s="225"/>
      <c r="K93" s="225"/>
      <c r="L93" s="18"/>
      <c r="M93" s="285"/>
      <c r="N93" s="285"/>
      <c r="O93" s="285"/>
      <c r="P93" s="285"/>
      <c r="Q93" s="285"/>
      <c r="R93" s="285"/>
      <c r="S93" s="285"/>
      <c r="T93" s="285"/>
      <c r="U93" s="285"/>
      <c r="V93" s="285"/>
      <c r="W93" s="285"/>
      <c r="X93" s="285"/>
      <c r="Y93" s="285"/>
    </row>
    <row r="94" spans="1:25" s="19" customFormat="1" ht="22.05" customHeight="1" x14ac:dyDescent="0.3">
      <c r="A94" s="17"/>
      <c r="B94" s="231" t="s">
        <v>70</v>
      </c>
      <c r="C94" s="225" t="s">
        <v>1</v>
      </c>
      <c r="D94" s="225"/>
      <c r="E94" s="225" t="s">
        <v>2</v>
      </c>
      <c r="F94" s="225" t="s">
        <v>3</v>
      </c>
      <c r="G94" s="225"/>
      <c r="H94" s="225"/>
      <c r="I94" s="231" t="s">
        <v>142</v>
      </c>
      <c r="J94" s="225" t="s">
        <v>72</v>
      </c>
      <c r="K94" s="269" t="s">
        <v>180</v>
      </c>
      <c r="L94" s="153"/>
      <c r="M94" s="286" t="s">
        <v>156</v>
      </c>
      <c r="N94" s="287"/>
      <c r="O94" s="287"/>
      <c r="P94" s="287"/>
      <c r="Q94" s="287"/>
      <c r="R94" s="287"/>
      <c r="S94" s="287"/>
      <c r="T94" s="287"/>
      <c r="U94" s="287"/>
      <c r="V94" s="287"/>
      <c r="W94" s="287"/>
      <c r="X94" s="287"/>
      <c r="Y94" s="288"/>
    </row>
    <row r="95" spans="1:25" s="19" customFormat="1" ht="42.6" customHeight="1" x14ac:dyDescent="0.3">
      <c r="A95" s="17"/>
      <c r="B95" s="231"/>
      <c r="C95" s="225"/>
      <c r="D95" s="225"/>
      <c r="E95" s="225"/>
      <c r="F95" s="213" t="s">
        <v>139</v>
      </c>
      <c r="G95" s="213" t="s">
        <v>140</v>
      </c>
      <c r="H95" s="213" t="s">
        <v>141</v>
      </c>
      <c r="I95" s="231"/>
      <c r="J95" s="225"/>
      <c r="K95" s="269"/>
      <c r="L95" s="154"/>
      <c r="M95" s="289" t="s">
        <v>89</v>
      </c>
      <c r="N95" s="290"/>
      <c r="O95" s="290"/>
      <c r="P95" s="290"/>
      <c r="Q95" s="290"/>
      <c r="R95" s="290"/>
      <c r="S95" s="290"/>
      <c r="T95" s="290"/>
      <c r="U95" s="290"/>
      <c r="V95" s="290"/>
      <c r="W95" s="290"/>
      <c r="X95" s="290"/>
      <c r="Y95" s="291"/>
    </row>
    <row r="96" spans="1:25" s="19" customFormat="1" ht="22.05" customHeight="1" x14ac:dyDescent="0.3">
      <c r="A96" s="17"/>
      <c r="B96" s="268" t="s">
        <v>89</v>
      </c>
      <c r="C96" s="268"/>
      <c r="D96" s="268"/>
      <c r="E96" s="268"/>
      <c r="F96" s="268"/>
      <c r="G96" s="268"/>
      <c r="H96" s="268"/>
      <c r="I96" s="268"/>
      <c r="J96" s="268"/>
      <c r="K96" s="268"/>
      <c r="L96" s="161"/>
      <c r="M96" s="81" t="s">
        <v>143</v>
      </c>
      <c r="N96" s="81" t="s">
        <v>144</v>
      </c>
      <c r="O96" s="81" t="s">
        <v>145</v>
      </c>
      <c r="P96" s="81" t="s">
        <v>147</v>
      </c>
      <c r="Q96" s="81" t="s">
        <v>146</v>
      </c>
      <c r="R96" s="81" t="s">
        <v>148</v>
      </c>
      <c r="S96" s="81" t="s">
        <v>149</v>
      </c>
      <c r="T96" s="81" t="s">
        <v>150</v>
      </c>
      <c r="U96" s="81" t="s">
        <v>151</v>
      </c>
      <c r="V96" s="81" t="s">
        <v>152</v>
      </c>
      <c r="W96" s="81" t="s">
        <v>153</v>
      </c>
      <c r="X96" s="81" t="s">
        <v>154</v>
      </c>
      <c r="Y96" s="81" t="s">
        <v>155</v>
      </c>
    </row>
    <row r="97" spans="1:25" s="19" customFormat="1" ht="22.05" customHeight="1" x14ac:dyDescent="0.3">
      <c r="A97" s="17"/>
      <c r="B97" s="230" t="s">
        <v>4</v>
      </c>
      <c r="C97" s="224" t="s">
        <v>35</v>
      </c>
      <c r="D97" s="224"/>
      <c r="E97" s="48">
        <v>250</v>
      </c>
      <c r="F97" s="49">
        <v>6.2</v>
      </c>
      <c r="G97" s="49">
        <v>8.6</v>
      </c>
      <c r="H97" s="49">
        <v>30.8</v>
      </c>
      <c r="I97" s="49">
        <v>224.9</v>
      </c>
      <c r="J97" s="50" t="s">
        <v>34</v>
      </c>
      <c r="K97" s="133">
        <v>17.96</v>
      </c>
      <c r="L97" s="158"/>
      <c r="M97" s="82">
        <v>0.1</v>
      </c>
      <c r="N97" s="82">
        <v>0.14000000000000001</v>
      </c>
      <c r="O97" s="82">
        <v>34.1</v>
      </c>
      <c r="P97" s="82">
        <v>0.5</v>
      </c>
      <c r="Q97" s="82">
        <v>1</v>
      </c>
      <c r="R97" s="82">
        <v>547</v>
      </c>
      <c r="S97" s="82">
        <v>225</v>
      </c>
      <c r="T97" s="82">
        <v>149</v>
      </c>
      <c r="U97" s="82">
        <v>32</v>
      </c>
      <c r="V97" s="82">
        <v>146</v>
      </c>
      <c r="W97" s="82">
        <v>1</v>
      </c>
      <c r="X97" s="82">
        <v>62.1</v>
      </c>
      <c r="Y97" s="82">
        <v>5.0999999999999996</v>
      </c>
    </row>
    <row r="98" spans="1:25" s="19" customFormat="1" ht="22.05" customHeight="1" x14ac:dyDescent="0.3">
      <c r="A98" s="17"/>
      <c r="B98" s="230"/>
      <c r="C98" s="224" t="s">
        <v>111</v>
      </c>
      <c r="D98" s="224"/>
      <c r="E98" s="48">
        <v>34</v>
      </c>
      <c r="F98" s="49">
        <f>F16/100*34</f>
        <v>1.1831999999999998</v>
      </c>
      <c r="G98" s="49">
        <f>G16/100*34</f>
        <v>0.21760000000000002</v>
      </c>
      <c r="H98" s="49">
        <f>H16/100*34</f>
        <v>7.2759999999999998</v>
      </c>
      <c r="I98" s="49">
        <f>I16/100*34</f>
        <v>45.634799999999998</v>
      </c>
      <c r="J98" s="48" t="s">
        <v>60</v>
      </c>
      <c r="K98" s="133">
        <v>3.64</v>
      </c>
      <c r="L98" s="158"/>
      <c r="M98" s="82">
        <f>M16/40*34</f>
        <v>0.13940000000000002</v>
      </c>
      <c r="N98" s="82">
        <f t="shared" ref="N98:Y98" si="22">N16/40*34</f>
        <v>8.585000000000001E-2</v>
      </c>
      <c r="O98" s="82">
        <f t="shared" si="22"/>
        <v>0</v>
      </c>
      <c r="P98" s="82">
        <f t="shared" si="22"/>
        <v>1.9040000000000004</v>
      </c>
      <c r="Q98" s="82">
        <f t="shared" si="22"/>
        <v>6.8000000000000005E-2</v>
      </c>
      <c r="R98" s="82">
        <f t="shared" si="22"/>
        <v>160.82</v>
      </c>
      <c r="S98" s="82">
        <f t="shared" si="22"/>
        <v>42.5</v>
      </c>
      <c r="T98" s="82">
        <f t="shared" si="22"/>
        <v>1.6660000000000001</v>
      </c>
      <c r="U98" s="82">
        <f t="shared" si="22"/>
        <v>13.94</v>
      </c>
      <c r="V98" s="82">
        <f t="shared" si="22"/>
        <v>43.86</v>
      </c>
      <c r="W98" s="82">
        <f t="shared" si="22"/>
        <v>1.224</v>
      </c>
      <c r="X98" s="82">
        <f t="shared" si="22"/>
        <v>0</v>
      </c>
      <c r="Y98" s="82">
        <f t="shared" si="22"/>
        <v>9.7919999999999998</v>
      </c>
    </row>
    <row r="99" spans="1:25" s="45" customFormat="1" ht="22.05" customHeight="1" x14ac:dyDescent="0.3">
      <c r="A99" s="20"/>
      <c r="B99" s="230"/>
      <c r="C99" s="224" t="s">
        <v>115</v>
      </c>
      <c r="D99" s="224"/>
      <c r="E99" s="48">
        <v>30</v>
      </c>
      <c r="F99" s="49">
        <f>F17/100*30</f>
        <v>0.56999999999999995</v>
      </c>
      <c r="G99" s="49">
        <f>G17/100*30</f>
        <v>0.13500000000000001</v>
      </c>
      <c r="H99" s="49">
        <f>H17/100*30</f>
        <v>7.5</v>
      </c>
      <c r="I99" s="49">
        <f>I17/100*30</f>
        <v>37.119</v>
      </c>
      <c r="J99" s="48" t="s">
        <v>60</v>
      </c>
      <c r="K99" s="133">
        <v>2.91</v>
      </c>
      <c r="L99" s="140"/>
      <c r="M99" s="82">
        <f>M17/40*30</f>
        <v>0.1275</v>
      </c>
      <c r="N99" s="82">
        <f t="shared" ref="N99:Y99" si="23">N17/40*30</f>
        <v>9.7500000000000003E-2</v>
      </c>
      <c r="O99" s="82">
        <f t="shared" si="23"/>
        <v>0</v>
      </c>
      <c r="P99" s="82">
        <f t="shared" si="23"/>
        <v>1.1399999999999999</v>
      </c>
      <c r="Q99" s="82">
        <f t="shared" si="23"/>
        <v>0.12</v>
      </c>
      <c r="R99" s="82">
        <f t="shared" si="23"/>
        <v>180.89999999999998</v>
      </c>
      <c r="S99" s="82">
        <f t="shared" si="23"/>
        <v>21.9</v>
      </c>
      <c r="T99" s="82">
        <f t="shared" si="23"/>
        <v>0.36</v>
      </c>
      <c r="U99" s="82">
        <f t="shared" si="23"/>
        <v>12</v>
      </c>
      <c r="V99" s="82">
        <f t="shared" si="23"/>
        <v>37.5</v>
      </c>
      <c r="W99" s="82">
        <f t="shared" si="23"/>
        <v>0.84749999999999992</v>
      </c>
      <c r="X99" s="82">
        <f t="shared" si="23"/>
        <v>0</v>
      </c>
      <c r="Y99" s="82">
        <f t="shared" si="23"/>
        <v>9.27</v>
      </c>
    </row>
    <row r="100" spans="1:25" s="19" customFormat="1" ht="22.05" customHeight="1" x14ac:dyDescent="0.3">
      <c r="A100" s="17"/>
      <c r="B100" s="230"/>
      <c r="C100" s="224" t="s">
        <v>12</v>
      </c>
      <c r="D100" s="224"/>
      <c r="E100" s="48">
        <v>200</v>
      </c>
      <c r="F100" s="49">
        <v>3.5</v>
      </c>
      <c r="G100" s="49">
        <v>3.4</v>
      </c>
      <c r="H100" s="49">
        <v>22.3</v>
      </c>
      <c r="I100" s="49">
        <v>133.4</v>
      </c>
      <c r="J100" s="50" t="s">
        <v>11</v>
      </c>
      <c r="K100" s="133">
        <v>14.55</v>
      </c>
      <c r="L100" s="158"/>
      <c r="M100" s="82">
        <v>0</v>
      </c>
      <c r="N100" s="82">
        <v>0.13</v>
      </c>
      <c r="O100" s="82">
        <v>9.6</v>
      </c>
      <c r="P100" s="82">
        <v>0.12</v>
      </c>
      <c r="Q100" s="82">
        <v>0</v>
      </c>
      <c r="R100" s="82">
        <v>50</v>
      </c>
      <c r="S100" s="82">
        <v>199</v>
      </c>
      <c r="T100" s="82">
        <v>108</v>
      </c>
      <c r="U100" s="82">
        <v>26</v>
      </c>
      <c r="V100" s="82">
        <v>95</v>
      </c>
      <c r="W100" s="82">
        <v>1</v>
      </c>
      <c r="X100" s="82">
        <v>2.7</v>
      </c>
      <c r="Y100" s="82">
        <v>1</v>
      </c>
    </row>
    <row r="101" spans="1:25" s="47" customFormat="1" ht="22.05" customHeight="1" x14ac:dyDescent="0.3">
      <c r="A101" s="46"/>
      <c r="B101" s="230"/>
      <c r="C101" s="233" t="s">
        <v>41</v>
      </c>
      <c r="D101" s="234"/>
      <c r="E101" s="51">
        <v>200</v>
      </c>
      <c r="F101" s="52">
        <v>0.41</v>
      </c>
      <c r="G101" s="52">
        <v>0</v>
      </c>
      <c r="H101" s="52">
        <v>22.59</v>
      </c>
      <c r="I101" s="52">
        <v>92</v>
      </c>
      <c r="J101" s="53" t="s">
        <v>60</v>
      </c>
      <c r="K101" s="134">
        <v>36</v>
      </c>
      <c r="L101" s="134"/>
      <c r="M101" s="122">
        <v>0.02</v>
      </c>
      <c r="N101" s="122">
        <v>0.02</v>
      </c>
      <c r="O101" s="122">
        <v>0</v>
      </c>
      <c r="P101" s="122">
        <v>0.04</v>
      </c>
      <c r="Q101" s="122">
        <v>4</v>
      </c>
      <c r="R101" s="122">
        <v>12</v>
      </c>
      <c r="S101" s="122">
        <v>240</v>
      </c>
      <c r="T101" s="122">
        <v>14</v>
      </c>
      <c r="U101" s="122">
        <v>8</v>
      </c>
      <c r="V101" s="122">
        <v>14</v>
      </c>
      <c r="W101" s="122">
        <v>2.8</v>
      </c>
      <c r="X101" s="122">
        <v>2</v>
      </c>
      <c r="Y101" s="122">
        <v>0</v>
      </c>
    </row>
    <row r="102" spans="1:25" s="19" customFormat="1" ht="22.05" customHeight="1" x14ac:dyDescent="0.3">
      <c r="A102" s="17"/>
      <c r="B102" s="65"/>
      <c r="C102" s="272" t="s">
        <v>65</v>
      </c>
      <c r="D102" s="273"/>
      <c r="E102" s="66">
        <f>SUM(E97:E101)</f>
        <v>714</v>
      </c>
      <c r="F102" s="68">
        <f>SUM(F97:F101)</f>
        <v>11.863200000000001</v>
      </c>
      <c r="G102" s="68">
        <f>SUM(G97:G101)</f>
        <v>12.352599999999999</v>
      </c>
      <c r="H102" s="68">
        <f>SUM(H97:H101)</f>
        <v>90.466000000000008</v>
      </c>
      <c r="I102" s="68">
        <f>SUM(I97:I101)</f>
        <v>533.05380000000002</v>
      </c>
      <c r="J102" s="67"/>
      <c r="K102" s="55">
        <f>SUM(K97:K101)</f>
        <v>75.06</v>
      </c>
      <c r="L102" s="158"/>
      <c r="M102" s="102">
        <f t="shared" ref="M102:Y102" si="24">SUM(M97:M101)</f>
        <v>0.38690000000000002</v>
      </c>
      <c r="N102" s="102">
        <f t="shared" si="24"/>
        <v>0.47335000000000005</v>
      </c>
      <c r="O102" s="102">
        <f t="shared" si="24"/>
        <v>43.7</v>
      </c>
      <c r="P102" s="102">
        <f t="shared" si="24"/>
        <v>3.7040000000000006</v>
      </c>
      <c r="Q102" s="102">
        <f t="shared" si="24"/>
        <v>5.1880000000000006</v>
      </c>
      <c r="R102" s="102">
        <f t="shared" si="24"/>
        <v>950.71999999999991</v>
      </c>
      <c r="S102" s="102">
        <f t="shared" si="24"/>
        <v>728.4</v>
      </c>
      <c r="T102" s="102">
        <f t="shared" si="24"/>
        <v>273.02600000000001</v>
      </c>
      <c r="U102" s="102">
        <f t="shared" si="24"/>
        <v>91.94</v>
      </c>
      <c r="V102" s="102">
        <f t="shared" si="24"/>
        <v>336.36</v>
      </c>
      <c r="W102" s="102">
        <f t="shared" si="24"/>
        <v>6.8715000000000002</v>
      </c>
      <c r="X102" s="102">
        <f t="shared" si="24"/>
        <v>66.8</v>
      </c>
      <c r="Y102" s="102">
        <f t="shared" si="24"/>
        <v>25.161999999999999</v>
      </c>
    </row>
    <row r="103" spans="1:25" s="113" customFormat="1" ht="22.05" customHeight="1" x14ac:dyDescent="0.3">
      <c r="A103" s="20"/>
      <c r="B103" s="230" t="s">
        <v>9</v>
      </c>
      <c r="C103" s="232" t="s">
        <v>215</v>
      </c>
      <c r="D103" s="232"/>
      <c r="E103" s="48">
        <v>120</v>
      </c>
      <c r="F103" s="49">
        <v>1.5</v>
      </c>
      <c r="G103" s="49">
        <v>10.7</v>
      </c>
      <c r="H103" s="49">
        <v>9</v>
      </c>
      <c r="I103" s="49">
        <v>137.1</v>
      </c>
      <c r="J103" s="50" t="s">
        <v>216</v>
      </c>
      <c r="K103" s="133">
        <v>14.83</v>
      </c>
      <c r="L103" s="133"/>
      <c r="M103" s="112">
        <v>0.09</v>
      </c>
      <c r="N103" s="112">
        <v>0.15</v>
      </c>
      <c r="O103" s="112">
        <v>151.80000000000001</v>
      </c>
      <c r="P103" s="112">
        <v>5.14</v>
      </c>
      <c r="Q103" s="112">
        <v>36.799999999999997</v>
      </c>
      <c r="R103" s="112">
        <v>450.6</v>
      </c>
      <c r="S103" s="112">
        <v>511.5</v>
      </c>
      <c r="T103" s="112">
        <v>93.5</v>
      </c>
      <c r="U103" s="112">
        <v>37.43</v>
      </c>
      <c r="V103" s="112">
        <v>157.69999999999999</v>
      </c>
      <c r="W103" s="112">
        <v>2.39</v>
      </c>
      <c r="X103" s="112">
        <v>24.4</v>
      </c>
      <c r="Y103" s="112">
        <v>0.7</v>
      </c>
    </row>
    <row r="104" spans="1:25" s="45" customFormat="1" ht="22.05" customHeight="1" x14ac:dyDescent="0.3">
      <c r="A104" s="20"/>
      <c r="B104" s="230"/>
      <c r="C104" s="224" t="s">
        <v>78</v>
      </c>
      <c r="D104" s="224"/>
      <c r="E104" s="48">
        <v>230</v>
      </c>
      <c r="F104" s="49">
        <v>4.5199999999999996</v>
      </c>
      <c r="G104" s="49">
        <v>15.92</v>
      </c>
      <c r="H104" s="49">
        <v>14.96</v>
      </c>
      <c r="I104" s="49">
        <v>232.3</v>
      </c>
      <c r="J104" s="50" t="s">
        <v>79</v>
      </c>
      <c r="K104" s="133">
        <v>71.63</v>
      </c>
      <c r="L104" s="140"/>
      <c r="M104" s="82">
        <v>0.09</v>
      </c>
      <c r="N104" s="82">
        <v>0.15</v>
      </c>
      <c r="O104" s="82">
        <v>151.80000000000001</v>
      </c>
      <c r="P104" s="82">
        <v>5.14</v>
      </c>
      <c r="Q104" s="82">
        <v>36.799999999999997</v>
      </c>
      <c r="R104" s="82">
        <v>450.6</v>
      </c>
      <c r="S104" s="82">
        <v>511.5</v>
      </c>
      <c r="T104" s="82">
        <v>93.5</v>
      </c>
      <c r="U104" s="82">
        <v>37.43</v>
      </c>
      <c r="V104" s="82">
        <v>157.69999999999999</v>
      </c>
      <c r="W104" s="82">
        <v>2.39</v>
      </c>
      <c r="X104" s="82">
        <v>24.4</v>
      </c>
      <c r="Y104" s="82">
        <v>0.7</v>
      </c>
    </row>
    <row r="105" spans="1:25" s="45" customFormat="1" ht="22.05" customHeight="1" x14ac:dyDescent="0.3">
      <c r="A105" s="20"/>
      <c r="B105" s="230"/>
      <c r="C105" s="224" t="s">
        <v>111</v>
      </c>
      <c r="D105" s="224"/>
      <c r="E105" s="48">
        <v>45</v>
      </c>
      <c r="F105" s="49">
        <f>F16/100*45</f>
        <v>1.5659999999999998</v>
      </c>
      <c r="G105" s="49">
        <f>G16/100*45</f>
        <v>0.28800000000000003</v>
      </c>
      <c r="H105" s="49">
        <f>H16/100*45</f>
        <v>9.629999999999999</v>
      </c>
      <c r="I105" s="49">
        <f>I16/100*45</f>
        <v>60.399000000000001</v>
      </c>
      <c r="J105" s="48" t="s">
        <v>60</v>
      </c>
      <c r="K105" s="133">
        <v>3.64</v>
      </c>
      <c r="L105" s="140"/>
      <c r="M105" s="82">
        <f>M16/40*45</f>
        <v>0.18450000000000003</v>
      </c>
      <c r="N105" s="82">
        <f t="shared" ref="N105:Y105" si="25">N16/40*45</f>
        <v>0.11362500000000002</v>
      </c>
      <c r="O105" s="82">
        <f t="shared" si="25"/>
        <v>0</v>
      </c>
      <c r="P105" s="82">
        <f t="shared" si="25"/>
        <v>2.5200000000000005</v>
      </c>
      <c r="Q105" s="82">
        <f t="shared" si="25"/>
        <v>0.09</v>
      </c>
      <c r="R105" s="82">
        <f t="shared" si="25"/>
        <v>212.84999999999997</v>
      </c>
      <c r="S105" s="82">
        <f t="shared" si="25"/>
        <v>56.25</v>
      </c>
      <c r="T105" s="82">
        <f t="shared" si="25"/>
        <v>2.2050000000000001</v>
      </c>
      <c r="U105" s="82">
        <f t="shared" si="25"/>
        <v>18.45</v>
      </c>
      <c r="V105" s="82">
        <f t="shared" si="25"/>
        <v>58.050000000000004</v>
      </c>
      <c r="W105" s="82">
        <f t="shared" si="25"/>
        <v>1.6199999999999999</v>
      </c>
      <c r="X105" s="82">
        <f t="shared" si="25"/>
        <v>0</v>
      </c>
      <c r="Y105" s="82">
        <f t="shared" si="25"/>
        <v>12.959999999999999</v>
      </c>
    </row>
    <row r="106" spans="1:25" s="45" customFormat="1" ht="22.05" customHeight="1" x14ac:dyDescent="0.3">
      <c r="A106" s="20"/>
      <c r="B106" s="230"/>
      <c r="C106" s="224" t="s">
        <v>115</v>
      </c>
      <c r="D106" s="224"/>
      <c r="E106" s="48">
        <v>28</v>
      </c>
      <c r="F106" s="49">
        <f>F17/100*28</f>
        <v>0.53200000000000003</v>
      </c>
      <c r="G106" s="49">
        <f>G17/100*28</f>
        <v>0.126</v>
      </c>
      <c r="H106" s="49">
        <f>H17/100*28</f>
        <v>7</v>
      </c>
      <c r="I106" s="49">
        <f>I17/100*28</f>
        <v>34.644400000000005</v>
      </c>
      <c r="J106" s="48" t="s">
        <v>60</v>
      </c>
      <c r="K106" s="133">
        <v>2.91</v>
      </c>
      <c r="L106" s="140"/>
      <c r="M106" s="82">
        <f>M17/40*28</f>
        <v>0.11900000000000001</v>
      </c>
      <c r="N106" s="82">
        <f t="shared" ref="N106:Y106" si="26">N17/40*28</f>
        <v>9.1000000000000011E-2</v>
      </c>
      <c r="O106" s="82">
        <f t="shared" si="26"/>
        <v>0</v>
      </c>
      <c r="P106" s="82">
        <f t="shared" si="26"/>
        <v>1.0640000000000001</v>
      </c>
      <c r="Q106" s="82">
        <f t="shared" si="26"/>
        <v>0.112</v>
      </c>
      <c r="R106" s="82">
        <f t="shared" si="26"/>
        <v>168.83999999999997</v>
      </c>
      <c r="S106" s="82">
        <f t="shared" si="26"/>
        <v>20.439999999999998</v>
      </c>
      <c r="T106" s="82">
        <f t="shared" si="26"/>
        <v>0.33600000000000002</v>
      </c>
      <c r="U106" s="82">
        <f t="shared" si="26"/>
        <v>11.200000000000001</v>
      </c>
      <c r="V106" s="82">
        <f t="shared" si="26"/>
        <v>35</v>
      </c>
      <c r="W106" s="82">
        <f t="shared" si="26"/>
        <v>0.79099999999999993</v>
      </c>
      <c r="X106" s="82">
        <f t="shared" si="26"/>
        <v>0</v>
      </c>
      <c r="Y106" s="82">
        <f t="shared" si="26"/>
        <v>8.6519999999999992</v>
      </c>
    </row>
    <row r="107" spans="1:25" s="45" customFormat="1" ht="22.05" customHeight="1" x14ac:dyDescent="0.3">
      <c r="A107" s="20"/>
      <c r="B107" s="230"/>
      <c r="C107" s="224" t="s">
        <v>199</v>
      </c>
      <c r="D107" s="224"/>
      <c r="E107" s="48">
        <v>200</v>
      </c>
      <c r="F107" s="49">
        <v>0.18</v>
      </c>
      <c r="G107" s="49">
        <v>0.04</v>
      </c>
      <c r="H107" s="49">
        <v>21.74</v>
      </c>
      <c r="I107" s="49">
        <v>82.68</v>
      </c>
      <c r="J107" s="50">
        <v>1201</v>
      </c>
      <c r="K107" s="133">
        <v>8.5299999999999994</v>
      </c>
      <c r="L107" s="133"/>
      <c r="M107" s="82">
        <v>0</v>
      </c>
      <c r="N107" s="82">
        <v>0</v>
      </c>
      <c r="O107" s="82">
        <v>0</v>
      </c>
      <c r="P107" s="82">
        <v>0.04</v>
      </c>
      <c r="Q107" s="82">
        <v>3.57</v>
      </c>
      <c r="R107" s="82">
        <v>3.57</v>
      </c>
      <c r="S107" s="82">
        <v>39.299999999999997</v>
      </c>
      <c r="T107" s="82">
        <v>7.14</v>
      </c>
      <c r="U107" s="82">
        <v>3.57</v>
      </c>
      <c r="V107" s="82">
        <v>3.57</v>
      </c>
      <c r="W107" s="82">
        <v>0</v>
      </c>
      <c r="X107" s="82">
        <v>0</v>
      </c>
      <c r="Y107" s="82">
        <v>0</v>
      </c>
    </row>
    <row r="108" spans="1:25" s="45" customFormat="1" ht="22.05" customHeight="1" x14ac:dyDescent="0.3">
      <c r="B108" s="230"/>
      <c r="C108" s="227" t="s">
        <v>63</v>
      </c>
      <c r="D108" s="227"/>
      <c r="E108" s="64">
        <v>50</v>
      </c>
      <c r="F108" s="58">
        <v>0.7</v>
      </c>
      <c r="G108" s="58">
        <v>3.45</v>
      </c>
      <c r="H108" s="58">
        <v>11.45</v>
      </c>
      <c r="I108" s="58">
        <v>80</v>
      </c>
      <c r="J108" s="59" t="s">
        <v>60</v>
      </c>
      <c r="K108" s="135">
        <v>15</v>
      </c>
      <c r="L108" s="193"/>
      <c r="M108" s="128">
        <v>0.06</v>
      </c>
      <c r="N108" s="82">
        <v>0.04</v>
      </c>
      <c r="O108" s="82">
        <v>0</v>
      </c>
      <c r="P108" s="82">
        <v>0</v>
      </c>
      <c r="Q108" s="82">
        <v>0</v>
      </c>
      <c r="R108" s="82">
        <v>0</v>
      </c>
      <c r="S108" s="82">
        <v>0</v>
      </c>
      <c r="T108" s="82">
        <v>19.28</v>
      </c>
      <c r="U108" s="82">
        <v>0</v>
      </c>
      <c r="V108" s="82">
        <v>0</v>
      </c>
      <c r="W108" s="82">
        <v>1.04</v>
      </c>
      <c r="X108" s="82">
        <v>0</v>
      </c>
      <c r="Y108" s="82">
        <v>0</v>
      </c>
    </row>
    <row r="109" spans="1:25" s="45" customFormat="1" ht="22.05" customHeight="1" x14ac:dyDescent="0.3">
      <c r="A109" s="14"/>
      <c r="B109" s="43"/>
      <c r="C109" s="228" t="s">
        <v>61</v>
      </c>
      <c r="D109" s="228"/>
      <c r="E109" s="44">
        <f>SUM(E103:E108)</f>
        <v>673</v>
      </c>
      <c r="F109" s="55">
        <f>SUM(F103:F108)</f>
        <v>8.9979999999999976</v>
      </c>
      <c r="G109" s="55">
        <f>SUM(G103:G108)</f>
        <v>30.523999999999997</v>
      </c>
      <c r="H109" s="55">
        <f>SUM(H103:H108)</f>
        <v>73.78</v>
      </c>
      <c r="I109" s="55">
        <f>SUM(I103:I108)</f>
        <v>627.12339999999995</v>
      </c>
      <c r="J109" s="44"/>
      <c r="K109" s="55" t="e">
        <f>SUM(#REF!)</f>
        <v>#REF!</v>
      </c>
      <c r="L109" s="140"/>
      <c r="M109" s="102">
        <f>SUM(M103:M108)</f>
        <v>0.54350000000000009</v>
      </c>
      <c r="N109" s="102">
        <f t="shared" ref="N109:Y109" si="27">SUM(N103:N108)</f>
        <v>0.54462500000000003</v>
      </c>
      <c r="O109" s="102">
        <f t="shared" si="27"/>
        <v>303.60000000000002</v>
      </c>
      <c r="P109" s="102">
        <f t="shared" si="27"/>
        <v>13.904</v>
      </c>
      <c r="Q109" s="102">
        <f t="shared" si="27"/>
        <v>77.371999999999986</v>
      </c>
      <c r="R109" s="102">
        <f t="shared" si="27"/>
        <v>1286.4599999999998</v>
      </c>
      <c r="S109" s="102">
        <f t="shared" si="27"/>
        <v>1138.99</v>
      </c>
      <c r="T109" s="102">
        <f t="shared" si="27"/>
        <v>215.96100000000001</v>
      </c>
      <c r="U109" s="102">
        <f t="shared" si="27"/>
        <v>108.08</v>
      </c>
      <c r="V109" s="102">
        <f t="shared" si="27"/>
        <v>412.02</v>
      </c>
      <c r="W109" s="102">
        <f t="shared" si="27"/>
        <v>8.2310000000000016</v>
      </c>
      <c r="X109" s="102">
        <f t="shared" si="27"/>
        <v>48.8</v>
      </c>
      <c r="Y109" s="102">
        <f t="shared" si="27"/>
        <v>23.012</v>
      </c>
    </row>
    <row r="110" spans="1:25" s="19" customFormat="1" ht="22.05" customHeight="1" x14ac:dyDescent="0.3">
      <c r="A110" s="17"/>
      <c r="B110" s="95"/>
      <c r="C110" s="96"/>
      <c r="D110" s="97"/>
      <c r="E110" s="98"/>
      <c r="F110" s="98"/>
      <c r="G110" s="98"/>
      <c r="H110" s="98"/>
      <c r="I110" s="98"/>
      <c r="J110" s="100"/>
      <c r="K110" s="160"/>
      <c r="L110" s="160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</row>
    <row r="111" spans="1:25" s="19" customFormat="1" ht="22.05" customHeight="1" x14ac:dyDescent="0.3">
      <c r="A111" s="17"/>
      <c r="B111" s="95"/>
      <c r="C111" s="96"/>
      <c r="D111" s="97"/>
      <c r="E111" s="98"/>
      <c r="F111" s="98"/>
      <c r="G111" s="98"/>
      <c r="H111" s="98"/>
      <c r="I111" s="98"/>
      <c r="J111" s="100"/>
      <c r="K111" s="18"/>
      <c r="L111" s="18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</row>
    <row r="112" spans="1:25" s="19" customFormat="1" ht="22.05" customHeight="1" x14ac:dyDescent="0.3">
      <c r="A112" s="17"/>
      <c r="B112" s="225" t="s">
        <v>59</v>
      </c>
      <c r="C112" s="225"/>
      <c r="D112" s="225"/>
      <c r="E112" s="225"/>
      <c r="F112" s="225"/>
      <c r="G112" s="225"/>
      <c r="H112" s="225"/>
      <c r="I112" s="225"/>
      <c r="J112" s="225"/>
      <c r="K112" s="225"/>
      <c r="L112" s="18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  <c r="X112" s="285"/>
      <c r="Y112" s="285"/>
    </row>
    <row r="113" spans="1:25" s="19" customFormat="1" ht="22.05" customHeight="1" x14ac:dyDescent="0.3">
      <c r="A113" s="17"/>
      <c r="B113" s="231" t="s">
        <v>70</v>
      </c>
      <c r="C113" s="225" t="s">
        <v>1</v>
      </c>
      <c r="D113" s="225"/>
      <c r="E113" s="225" t="s">
        <v>2</v>
      </c>
      <c r="F113" s="225" t="s">
        <v>3</v>
      </c>
      <c r="G113" s="225"/>
      <c r="H113" s="225"/>
      <c r="I113" s="231" t="s">
        <v>142</v>
      </c>
      <c r="J113" s="225" t="s">
        <v>0</v>
      </c>
      <c r="K113" s="269" t="s">
        <v>180</v>
      </c>
      <c r="L113" s="153"/>
      <c r="M113" s="286" t="s">
        <v>156</v>
      </c>
      <c r="N113" s="287"/>
      <c r="O113" s="287"/>
      <c r="P113" s="287"/>
      <c r="Q113" s="287"/>
      <c r="R113" s="287"/>
      <c r="S113" s="287"/>
      <c r="T113" s="287"/>
      <c r="U113" s="287"/>
      <c r="V113" s="287"/>
      <c r="W113" s="287"/>
      <c r="X113" s="287"/>
      <c r="Y113" s="288"/>
    </row>
    <row r="114" spans="1:25" s="19" customFormat="1" ht="43.8" customHeight="1" x14ac:dyDescent="0.3">
      <c r="A114" s="17"/>
      <c r="B114" s="231"/>
      <c r="C114" s="225"/>
      <c r="D114" s="225"/>
      <c r="E114" s="225"/>
      <c r="F114" s="213" t="s">
        <v>139</v>
      </c>
      <c r="G114" s="213" t="s">
        <v>140</v>
      </c>
      <c r="H114" s="213" t="s">
        <v>141</v>
      </c>
      <c r="I114" s="231"/>
      <c r="J114" s="225"/>
      <c r="K114" s="269"/>
      <c r="L114" s="154"/>
      <c r="M114" s="289" t="s">
        <v>172</v>
      </c>
      <c r="N114" s="290"/>
      <c r="O114" s="290"/>
      <c r="P114" s="290"/>
      <c r="Q114" s="290"/>
      <c r="R114" s="290"/>
      <c r="S114" s="290"/>
      <c r="T114" s="290"/>
      <c r="U114" s="290"/>
      <c r="V114" s="290"/>
      <c r="W114" s="290"/>
      <c r="X114" s="290"/>
      <c r="Y114" s="291"/>
    </row>
    <row r="115" spans="1:25" s="19" customFormat="1" ht="22.05" customHeight="1" x14ac:dyDescent="0.3">
      <c r="A115" s="17"/>
      <c r="B115" s="268" t="s">
        <v>90</v>
      </c>
      <c r="C115" s="268"/>
      <c r="D115" s="268"/>
      <c r="E115" s="268"/>
      <c r="F115" s="268"/>
      <c r="G115" s="268"/>
      <c r="H115" s="268"/>
      <c r="I115" s="268"/>
      <c r="J115" s="268"/>
      <c r="K115" s="268"/>
      <c r="L115" s="161"/>
      <c r="M115" s="81" t="s">
        <v>143</v>
      </c>
      <c r="N115" s="81" t="s">
        <v>144</v>
      </c>
      <c r="O115" s="81" t="s">
        <v>145</v>
      </c>
      <c r="P115" s="81" t="s">
        <v>147</v>
      </c>
      <c r="Q115" s="81" t="s">
        <v>146</v>
      </c>
      <c r="R115" s="81" t="s">
        <v>148</v>
      </c>
      <c r="S115" s="81" t="s">
        <v>149</v>
      </c>
      <c r="T115" s="81" t="s">
        <v>150</v>
      </c>
      <c r="U115" s="81" t="s">
        <v>151</v>
      </c>
      <c r="V115" s="81" t="s">
        <v>152</v>
      </c>
      <c r="W115" s="81" t="s">
        <v>153</v>
      </c>
      <c r="X115" s="81" t="s">
        <v>154</v>
      </c>
      <c r="Y115" s="81" t="s">
        <v>155</v>
      </c>
    </row>
    <row r="116" spans="1:25" s="19" customFormat="1" ht="22.05" customHeight="1" x14ac:dyDescent="0.3">
      <c r="A116" s="17"/>
      <c r="B116" s="230" t="s">
        <v>4</v>
      </c>
      <c r="C116" s="224" t="s">
        <v>14</v>
      </c>
      <c r="D116" s="275"/>
      <c r="E116" s="48">
        <v>250</v>
      </c>
      <c r="F116" s="49">
        <v>5.9</v>
      </c>
      <c r="G116" s="49">
        <v>6.9</v>
      </c>
      <c r="H116" s="49">
        <v>23.4</v>
      </c>
      <c r="I116" s="49">
        <v>179</v>
      </c>
      <c r="J116" s="50" t="s">
        <v>13</v>
      </c>
      <c r="K116" s="133">
        <v>23.95</v>
      </c>
      <c r="L116" s="158"/>
      <c r="M116" s="82">
        <v>0.05</v>
      </c>
      <c r="N116" s="82">
        <v>0.19</v>
      </c>
      <c r="O116" s="82">
        <v>28.5</v>
      </c>
      <c r="P116" s="82">
        <v>0.4</v>
      </c>
      <c r="Q116" s="82">
        <v>0.75</v>
      </c>
      <c r="R116" s="82">
        <v>188</v>
      </c>
      <c r="S116" s="82">
        <v>266.75</v>
      </c>
      <c r="T116" s="82">
        <v>192</v>
      </c>
      <c r="U116" s="82">
        <v>25.25</v>
      </c>
      <c r="V116" s="82">
        <v>156</v>
      </c>
      <c r="W116" s="82">
        <v>0.5</v>
      </c>
      <c r="X116" s="82">
        <v>25.75</v>
      </c>
      <c r="Y116" s="82">
        <v>5.75</v>
      </c>
    </row>
    <row r="117" spans="1:25" s="19" customFormat="1" ht="22.05" customHeight="1" x14ac:dyDescent="0.3">
      <c r="B117" s="230"/>
      <c r="C117" s="271" t="s">
        <v>24</v>
      </c>
      <c r="D117" s="271"/>
      <c r="E117" s="64">
        <v>10</v>
      </c>
      <c r="F117" s="58">
        <v>0.1</v>
      </c>
      <c r="G117" s="58">
        <v>8.3000000000000007</v>
      </c>
      <c r="H117" s="58">
        <v>0.1</v>
      </c>
      <c r="I117" s="58">
        <v>74.900000000000006</v>
      </c>
      <c r="J117" s="59" t="s">
        <v>212</v>
      </c>
      <c r="K117" s="210">
        <v>7.4</v>
      </c>
      <c r="L117" s="211"/>
      <c r="M117" s="203">
        <v>0</v>
      </c>
      <c r="N117" s="203">
        <v>0</v>
      </c>
      <c r="O117" s="203">
        <v>50</v>
      </c>
      <c r="P117" s="203">
        <v>0.01</v>
      </c>
      <c r="Q117" s="203">
        <v>0</v>
      </c>
      <c r="R117" s="203">
        <v>7</v>
      </c>
      <c r="S117" s="203">
        <v>2</v>
      </c>
      <c r="T117" s="203">
        <v>2</v>
      </c>
      <c r="U117" s="203">
        <v>0</v>
      </c>
      <c r="V117" s="203">
        <v>2</v>
      </c>
      <c r="W117" s="203">
        <v>0</v>
      </c>
      <c r="X117" s="203">
        <v>0</v>
      </c>
      <c r="Y117" s="203">
        <v>0</v>
      </c>
    </row>
    <row r="118" spans="1:25" s="19" customFormat="1" ht="22.05" customHeight="1" x14ac:dyDescent="0.3">
      <c r="A118" s="17"/>
      <c r="B118" s="230"/>
      <c r="C118" s="224" t="s">
        <v>107</v>
      </c>
      <c r="D118" s="224"/>
      <c r="E118" s="48">
        <v>56</v>
      </c>
      <c r="F118" s="49">
        <f>F16/100*56</f>
        <v>1.9487999999999999</v>
      </c>
      <c r="G118" s="49">
        <f>G16/100*56</f>
        <v>0.3584</v>
      </c>
      <c r="H118" s="49">
        <f>H16/100*56</f>
        <v>11.984</v>
      </c>
      <c r="I118" s="49">
        <f>I16/100*56</f>
        <v>75.163200000000003</v>
      </c>
      <c r="J118" s="48" t="s">
        <v>60</v>
      </c>
      <c r="K118" s="133">
        <v>3.82</v>
      </c>
      <c r="L118" s="158"/>
      <c r="M118" s="82">
        <f t="shared" ref="M118:Y118" si="28">M16/40*56</f>
        <v>0.22960000000000003</v>
      </c>
      <c r="N118" s="82">
        <f t="shared" si="28"/>
        <v>0.14140000000000003</v>
      </c>
      <c r="O118" s="82">
        <f t="shared" si="28"/>
        <v>0</v>
      </c>
      <c r="P118" s="82">
        <f t="shared" si="28"/>
        <v>3.1360000000000006</v>
      </c>
      <c r="Q118" s="82">
        <f t="shared" si="28"/>
        <v>0.112</v>
      </c>
      <c r="R118" s="82">
        <f t="shared" si="28"/>
        <v>264.88</v>
      </c>
      <c r="S118" s="82">
        <f t="shared" si="28"/>
        <v>70</v>
      </c>
      <c r="T118" s="82">
        <f t="shared" si="28"/>
        <v>2.7440000000000002</v>
      </c>
      <c r="U118" s="82">
        <f t="shared" si="28"/>
        <v>22.959999999999997</v>
      </c>
      <c r="V118" s="82">
        <f t="shared" si="28"/>
        <v>72.240000000000009</v>
      </c>
      <c r="W118" s="82">
        <f t="shared" si="28"/>
        <v>2.016</v>
      </c>
      <c r="X118" s="82">
        <f t="shared" si="28"/>
        <v>0</v>
      </c>
      <c r="Y118" s="82">
        <f t="shared" si="28"/>
        <v>16.128</v>
      </c>
    </row>
    <row r="119" spans="1:25" s="19" customFormat="1" ht="30" customHeight="1" x14ac:dyDescent="0.3">
      <c r="A119" s="17"/>
      <c r="B119" s="230"/>
      <c r="C119" s="267" t="s">
        <v>18</v>
      </c>
      <c r="D119" s="267"/>
      <c r="E119" s="48">
        <v>200</v>
      </c>
      <c r="F119" s="49">
        <v>0.3</v>
      </c>
      <c r="G119" s="49">
        <v>0</v>
      </c>
      <c r="H119" s="49">
        <v>6.7</v>
      </c>
      <c r="I119" s="49">
        <v>27.6</v>
      </c>
      <c r="J119" s="50" t="s">
        <v>17</v>
      </c>
      <c r="K119" s="206">
        <v>3.22</v>
      </c>
      <c r="L119" s="207"/>
      <c r="M119" s="208">
        <v>0</v>
      </c>
      <c r="N119" s="208">
        <v>0.01</v>
      </c>
      <c r="O119" s="208">
        <v>0</v>
      </c>
      <c r="P119" s="208">
        <v>7.0000000000000007E-2</v>
      </c>
      <c r="Q119" s="208">
        <v>1</v>
      </c>
      <c r="R119" s="208">
        <v>2</v>
      </c>
      <c r="S119" s="208">
        <v>36</v>
      </c>
      <c r="T119" s="208">
        <v>6</v>
      </c>
      <c r="U119" s="208">
        <v>5</v>
      </c>
      <c r="V119" s="208">
        <v>8</v>
      </c>
      <c r="W119" s="208">
        <v>1</v>
      </c>
      <c r="X119" s="208">
        <v>0</v>
      </c>
      <c r="Y119" s="208">
        <v>0</v>
      </c>
    </row>
    <row r="120" spans="1:25" s="19" customFormat="1" ht="22.05" customHeight="1" x14ac:dyDescent="0.3">
      <c r="A120" s="17"/>
      <c r="B120" s="230"/>
      <c r="C120" s="224" t="s">
        <v>159</v>
      </c>
      <c r="D120" s="224"/>
      <c r="E120" s="48">
        <v>100</v>
      </c>
      <c r="F120" s="49">
        <v>2.6</v>
      </c>
      <c r="G120" s="49">
        <v>2.5</v>
      </c>
      <c r="H120" s="49">
        <v>16</v>
      </c>
      <c r="I120" s="49">
        <v>95</v>
      </c>
      <c r="J120" s="48" t="s">
        <v>60</v>
      </c>
      <c r="K120" s="133">
        <v>35</v>
      </c>
      <c r="L120" s="158"/>
      <c r="M120" s="82">
        <v>0</v>
      </c>
      <c r="N120" s="82">
        <v>0</v>
      </c>
      <c r="O120" s="82">
        <v>500</v>
      </c>
      <c r="P120" s="82">
        <v>0</v>
      </c>
      <c r="Q120" s="82">
        <v>0</v>
      </c>
      <c r="R120" s="82">
        <v>0</v>
      </c>
      <c r="S120" s="82">
        <v>0</v>
      </c>
      <c r="T120" s="82">
        <v>0</v>
      </c>
      <c r="U120" s="82">
        <v>0</v>
      </c>
      <c r="V120" s="82">
        <v>0</v>
      </c>
      <c r="W120" s="82">
        <v>0</v>
      </c>
      <c r="X120" s="82">
        <v>0</v>
      </c>
      <c r="Y120" s="82">
        <v>0</v>
      </c>
    </row>
    <row r="121" spans="1:25" s="19" customFormat="1" ht="22.05" customHeight="1" x14ac:dyDescent="0.3">
      <c r="A121" s="17"/>
      <c r="B121" s="65"/>
      <c r="C121" s="272" t="s">
        <v>65</v>
      </c>
      <c r="D121" s="273"/>
      <c r="E121" s="125">
        <f>SUM(E116:E120)</f>
        <v>616</v>
      </c>
      <c r="F121" s="68">
        <f>SUM(F116:F120)</f>
        <v>10.848800000000001</v>
      </c>
      <c r="G121" s="68">
        <f>SUM(G116:G120)</f>
        <v>18.058399999999999</v>
      </c>
      <c r="H121" s="68">
        <f>SUM(H116:H120)</f>
        <v>58.184000000000005</v>
      </c>
      <c r="I121" s="68">
        <f>SUM(I116:I120)</f>
        <v>451.66320000000002</v>
      </c>
      <c r="J121" s="69"/>
      <c r="K121" s="55">
        <f>SUM(K116:K120)</f>
        <v>73.39</v>
      </c>
      <c r="L121" s="158"/>
      <c r="M121" s="102">
        <f t="shared" ref="M121:Y121" si="29">SUM(M116:M120)</f>
        <v>0.27960000000000002</v>
      </c>
      <c r="N121" s="102">
        <f t="shared" si="29"/>
        <v>0.34140000000000004</v>
      </c>
      <c r="O121" s="102">
        <f t="shared" si="29"/>
        <v>578.5</v>
      </c>
      <c r="P121" s="102">
        <f t="shared" si="29"/>
        <v>3.6160000000000005</v>
      </c>
      <c r="Q121" s="102">
        <f t="shared" si="29"/>
        <v>1.8620000000000001</v>
      </c>
      <c r="R121" s="102">
        <f t="shared" si="29"/>
        <v>461.88</v>
      </c>
      <c r="S121" s="102">
        <f t="shared" si="29"/>
        <v>374.75</v>
      </c>
      <c r="T121" s="102">
        <f t="shared" si="29"/>
        <v>202.744</v>
      </c>
      <c r="U121" s="102">
        <f t="shared" si="29"/>
        <v>53.209999999999994</v>
      </c>
      <c r="V121" s="102">
        <f t="shared" si="29"/>
        <v>238.24</v>
      </c>
      <c r="W121" s="102">
        <f t="shared" si="29"/>
        <v>3.516</v>
      </c>
      <c r="X121" s="102">
        <f t="shared" si="29"/>
        <v>25.75</v>
      </c>
      <c r="Y121" s="102">
        <f t="shared" si="29"/>
        <v>21.878</v>
      </c>
    </row>
    <row r="122" spans="1:25" s="45" customFormat="1" ht="28.2" customHeight="1" x14ac:dyDescent="0.3">
      <c r="A122" s="20"/>
      <c r="B122" s="270" t="s">
        <v>9</v>
      </c>
      <c r="C122" s="224" t="s">
        <v>104</v>
      </c>
      <c r="D122" s="224"/>
      <c r="E122" s="48">
        <v>100</v>
      </c>
      <c r="F122" s="49">
        <v>3.7</v>
      </c>
      <c r="G122" s="49">
        <v>9.1</v>
      </c>
      <c r="H122" s="49">
        <v>4.4000000000000004</v>
      </c>
      <c r="I122" s="49">
        <v>114</v>
      </c>
      <c r="J122" s="50">
        <v>7</v>
      </c>
      <c r="K122" s="133">
        <v>11.06</v>
      </c>
      <c r="L122" s="133"/>
      <c r="M122" s="82">
        <v>0.06</v>
      </c>
      <c r="N122" s="82">
        <v>0.1</v>
      </c>
      <c r="O122" s="82">
        <v>25</v>
      </c>
      <c r="P122" s="82">
        <v>0</v>
      </c>
      <c r="Q122" s="82">
        <v>9.83</v>
      </c>
      <c r="R122" s="82">
        <v>0</v>
      </c>
      <c r="S122" s="82">
        <v>0</v>
      </c>
      <c r="T122" s="82">
        <v>37.270000000000003</v>
      </c>
      <c r="U122" s="82">
        <v>15.27</v>
      </c>
      <c r="V122" s="82">
        <v>65.98</v>
      </c>
      <c r="W122" s="82">
        <v>0.82</v>
      </c>
      <c r="X122" s="82">
        <v>0</v>
      </c>
      <c r="Y122" s="82">
        <v>0</v>
      </c>
    </row>
    <row r="123" spans="1:25" s="45" customFormat="1" ht="22.05" customHeight="1" x14ac:dyDescent="0.3">
      <c r="B123" s="270"/>
      <c r="C123" s="235" t="s">
        <v>10</v>
      </c>
      <c r="D123" s="235"/>
      <c r="E123" s="57">
        <v>200</v>
      </c>
      <c r="F123" s="58">
        <v>11</v>
      </c>
      <c r="G123" s="58">
        <v>9.6999999999999993</v>
      </c>
      <c r="H123" s="58">
        <v>57</v>
      </c>
      <c r="I123" s="58">
        <v>350</v>
      </c>
      <c r="J123" s="59" t="s">
        <v>62</v>
      </c>
      <c r="K123" s="135">
        <v>14.27</v>
      </c>
      <c r="L123" s="137"/>
      <c r="M123" s="82">
        <v>0.28000000000000003</v>
      </c>
      <c r="N123" s="82">
        <v>0.16</v>
      </c>
      <c r="O123" s="82">
        <v>36.700000000000003</v>
      </c>
      <c r="P123" s="82">
        <v>5.31</v>
      </c>
      <c r="Q123" s="82">
        <v>0</v>
      </c>
      <c r="R123" s="82">
        <v>199</v>
      </c>
      <c r="S123" s="82">
        <v>292</v>
      </c>
      <c r="T123" s="82">
        <v>18.7</v>
      </c>
      <c r="U123" s="82">
        <v>160</v>
      </c>
      <c r="V123" s="82">
        <v>240</v>
      </c>
      <c r="W123" s="82">
        <v>5.3</v>
      </c>
      <c r="X123" s="82">
        <v>29.7</v>
      </c>
      <c r="Y123" s="82">
        <v>4.7</v>
      </c>
    </row>
    <row r="124" spans="1:25" s="113" customFormat="1" ht="22.05" customHeight="1" x14ac:dyDescent="0.3">
      <c r="A124" s="20"/>
      <c r="B124" s="270"/>
      <c r="C124" s="224" t="s">
        <v>189</v>
      </c>
      <c r="D124" s="224"/>
      <c r="E124" s="48">
        <v>120</v>
      </c>
      <c r="F124" s="49">
        <v>11.78</v>
      </c>
      <c r="G124" s="49">
        <v>4.45</v>
      </c>
      <c r="H124" s="49">
        <v>3.22</v>
      </c>
      <c r="I124" s="49">
        <v>118.6</v>
      </c>
      <c r="J124" s="50">
        <v>311</v>
      </c>
      <c r="K124" s="133">
        <v>47.01</v>
      </c>
      <c r="L124" s="133"/>
      <c r="M124" s="112">
        <v>0.1</v>
      </c>
      <c r="N124" s="112">
        <v>0.12</v>
      </c>
      <c r="O124" s="112">
        <v>74.97</v>
      </c>
      <c r="P124" s="112">
        <v>4.6500000000000004</v>
      </c>
      <c r="Q124" s="112">
        <v>2.87</v>
      </c>
      <c r="R124" s="112">
        <v>275.26</v>
      </c>
      <c r="S124" s="112">
        <v>4.3099999999999996</v>
      </c>
      <c r="T124" s="112">
        <v>14.73</v>
      </c>
      <c r="U124" s="112">
        <v>17.13</v>
      </c>
      <c r="V124" s="112">
        <v>126.65</v>
      </c>
      <c r="W124" s="112">
        <v>1.1100000000000001</v>
      </c>
      <c r="X124" s="112">
        <v>39.090000000000003</v>
      </c>
      <c r="Y124" s="112">
        <v>0</v>
      </c>
    </row>
    <row r="125" spans="1:25" s="45" customFormat="1" ht="22.05" customHeight="1" x14ac:dyDescent="0.3">
      <c r="A125" s="20"/>
      <c r="B125" s="270"/>
      <c r="C125" s="224" t="s">
        <v>111</v>
      </c>
      <c r="D125" s="224"/>
      <c r="E125" s="48">
        <v>44</v>
      </c>
      <c r="F125" s="49">
        <f>F16/100*44</f>
        <v>1.5311999999999999</v>
      </c>
      <c r="G125" s="49">
        <f>G16/100*44</f>
        <v>0.28160000000000002</v>
      </c>
      <c r="H125" s="49">
        <f>H16/100*44</f>
        <v>9.4160000000000004</v>
      </c>
      <c r="I125" s="49">
        <v>59.06</v>
      </c>
      <c r="J125" s="48" t="s">
        <v>60</v>
      </c>
      <c r="K125" s="133">
        <v>4.09</v>
      </c>
      <c r="L125" s="133"/>
      <c r="M125" s="82">
        <f t="shared" ref="M125:Y125" si="30">M16/40*44</f>
        <v>0.1804</v>
      </c>
      <c r="N125" s="82">
        <f t="shared" si="30"/>
        <v>0.11110000000000002</v>
      </c>
      <c r="O125" s="82">
        <f t="shared" si="30"/>
        <v>0</v>
      </c>
      <c r="P125" s="82">
        <f t="shared" si="30"/>
        <v>2.4640000000000004</v>
      </c>
      <c r="Q125" s="82">
        <f t="shared" si="30"/>
        <v>8.7999999999999995E-2</v>
      </c>
      <c r="R125" s="82">
        <f t="shared" si="30"/>
        <v>208.11999999999998</v>
      </c>
      <c r="S125" s="82">
        <f t="shared" si="30"/>
        <v>55</v>
      </c>
      <c r="T125" s="82">
        <f t="shared" si="30"/>
        <v>2.1560000000000001</v>
      </c>
      <c r="U125" s="82">
        <f t="shared" si="30"/>
        <v>18.04</v>
      </c>
      <c r="V125" s="82">
        <f t="shared" si="30"/>
        <v>56.760000000000005</v>
      </c>
      <c r="W125" s="82">
        <f t="shared" si="30"/>
        <v>1.5839999999999999</v>
      </c>
      <c r="X125" s="82">
        <f t="shared" si="30"/>
        <v>0</v>
      </c>
      <c r="Y125" s="82">
        <f t="shared" si="30"/>
        <v>12.671999999999999</v>
      </c>
    </row>
    <row r="126" spans="1:25" s="45" customFormat="1" ht="22.05" customHeight="1" x14ac:dyDescent="0.3">
      <c r="A126" s="20"/>
      <c r="B126" s="270"/>
      <c r="C126" s="224" t="s">
        <v>115</v>
      </c>
      <c r="D126" s="224"/>
      <c r="E126" s="48">
        <v>34</v>
      </c>
      <c r="F126" s="49">
        <f>F17/100*34</f>
        <v>0.64600000000000002</v>
      </c>
      <c r="G126" s="49">
        <f>G17/100*34</f>
        <v>0.15300000000000002</v>
      </c>
      <c r="H126" s="49">
        <f>H17/100*34</f>
        <v>8.5</v>
      </c>
      <c r="I126" s="49">
        <v>42.07</v>
      </c>
      <c r="J126" s="48" t="s">
        <v>60</v>
      </c>
      <c r="K126" s="133">
        <v>4</v>
      </c>
      <c r="L126" s="133"/>
      <c r="M126" s="82">
        <f t="shared" ref="M126:Y126" si="31">M17/40*34</f>
        <v>0.14450000000000002</v>
      </c>
      <c r="N126" s="82">
        <f t="shared" si="31"/>
        <v>0.11050000000000001</v>
      </c>
      <c r="O126" s="82">
        <f t="shared" si="31"/>
        <v>0</v>
      </c>
      <c r="P126" s="82">
        <f t="shared" si="31"/>
        <v>1.292</v>
      </c>
      <c r="Q126" s="82">
        <f t="shared" si="31"/>
        <v>0.13600000000000001</v>
      </c>
      <c r="R126" s="82">
        <f t="shared" si="31"/>
        <v>205.01999999999998</v>
      </c>
      <c r="S126" s="82">
        <f t="shared" si="31"/>
        <v>24.82</v>
      </c>
      <c r="T126" s="82">
        <f t="shared" si="31"/>
        <v>0.40800000000000003</v>
      </c>
      <c r="U126" s="82">
        <f t="shared" si="31"/>
        <v>13.600000000000001</v>
      </c>
      <c r="V126" s="82">
        <f t="shared" si="31"/>
        <v>42.5</v>
      </c>
      <c r="W126" s="82">
        <f t="shared" si="31"/>
        <v>0.96049999999999991</v>
      </c>
      <c r="X126" s="82">
        <f t="shared" si="31"/>
        <v>0</v>
      </c>
      <c r="Y126" s="82">
        <f t="shared" si="31"/>
        <v>10.506</v>
      </c>
    </row>
    <row r="127" spans="1:25" s="45" customFormat="1" ht="22.05" customHeight="1" x14ac:dyDescent="0.3">
      <c r="A127" s="20"/>
      <c r="B127" s="270"/>
      <c r="C127" s="224" t="s">
        <v>204</v>
      </c>
      <c r="D127" s="224"/>
      <c r="E127" s="48">
        <v>200</v>
      </c>
      <c r="F127" s="49">
        <v>0.2</v>
      </c>
      <c r="G127" s="49">
        <v>0</v>
      </c>
      <c r="H127" s="49">
        <v>6.4</v>
      </c>
      <c r="I127" s="49">
        <v>26.4</v>
      </c>
      <c r="J127" s="50" t="s">
        <v>22</v>
      </c>
      <c r="K127" s="133">
        <v>1.25</v>
      </c>
      <c r="L127" s="133"/>
      <c r="M127" s="82">
        <v>0</v>
      </c>
      <c r="N127" s="82">
        <v>0</v>
      </c>
      <c r="O127" s="82">
        <v>0</v>
      </c>
      <c r="P127" s="82">
        <v>0.1</v>
      </c>
      <c r="Q127" s="82">
        <v>0</v>
      </c>
      <c r="R127" s="82">
        <v>1</v>
      </c>
      <c r="S127" s="82">
        <v>25</v>
      </c>
      <c r="T127" s="82">
        <v>4</v>
      </c>
      <c r="U127" s="82">
        <v>4</v>
      </c>
      <c r="V127" s="82">
        <v>7</v>
      </c>
      <c r="W127" s="82">
        <v>1</v>
      </c>
      <c r="X127" s="82">
        <v>0</v>
      </c>
      <c r="Y127" s="82">
        <v>0</v>
      </c>
    </row>
    <row r="128" spans="1:25" s="47" customFormat="1" ht="22.05" customHeight="1" x14ac:dyDescent="0.3">
      <c r="A128" s="46"/>
      <c r="B128" s="270"/>
      <c r="C128" s="233" t="s">
        <v>41</v>
      </c>
      <c r="D128" s="234"/>
      <c r="E128" s="51">
        <v>200</v>
      </c>
      <c r="F128" s="52">
        <v>1.1000000000000001</v>
      </c>
      <c r="G128" s="52">
        <v>0.22</v>
      </c>
      <c r="H128" s="52">
        <v>25</v>
      </c>
      <c r="I128" s="52">
        <v>110</v>
      </c>
      <c r="J128" s="53" t="s">
        <v>60</v>
      </c>
      <c r="K128" s="134">
        <v>36</v>
      </c>
      <c r="L128" s="134"/>
      <c r="M128" s="122">
        <v>0.02</v>
      </c>
      <c r="N128" s="122">
        <v>0.02</v>
      </c>
      <c r="O128" s="122">
        <v>0</v>
      </c>
      <c r="P128" s="122">
        <v>0.04</v>
      </c>
      <c r="Q128" s="122">
        <v>4</v>
      </c>
      <c r="R128" s="122">
        <v>12</v>
      </c>
      <c r="S128" s="122">
        <v>240</v>
      </c>
      <c r="T128" s="122">
        <v>14</v>
      </c>
      <c r="U128" s="122">
        <v>8</v>
      </c>
      <c r="V128" s="122">
        <v>14</v>
      </c>
      <c r="W128" s="122">
        <v>2.8</v>
      </c>
      <c r="X128" s="122">
        <v>2</v>
      </c>
      <c r="Y128" s="122">
        <v>0</v>
      </c>
    </row>
    <row r="129" spans="1:25" s="45" customFormat="1" ht="22.05" customHeight="1" x14ac:dyDescent="0.3">
      <c r="A129" s="20"/>
      <c r="B129" s="42"/>
      <c r="C129" s="228" t="s">
        <v>61</v>
      </c>
      <c r="D129" s="228"/>
      <c r="E129" s="44">
        <f>SUM(E122:E128)</f>
        <v>898</v>
      </c>
      <c r="F129" s="55">
        <f>SUM(F122:F128)</f>
        <v>29.957199999999997</v>
      </c>
      <c r="G129" s="55">
        <f>SUM(G122:G128)</f>
        <v>23.904599999999995</v>
      </c>
      <c r="H129" s="55">
        <f>SUM(H122:H128)</f>
        <v>113.93600000000001</v>
      </c>
      <c r="I129" s="55">
        <f>SUM(I122:I128)</f>
        <v>820.13000000000011</v>
      </c>
      <c r="J129" s="44"/>
      <c r="K129" s="55" t="e">
        <f>SUM(#REF!)</f>
        <v>#REF!</v>
      </c>
      <c r="L129" s="133"/>
      <c r="M129" s="102">
        <f t="shared" ref="M129:Y129" si="32">SUM(M122:M128)</f>
        <v>0.78490000000000015</v>
      </c>
      <c r="N129" s="102">
        <f t="shared" si="32"/>
        <v>0.62160000000000004</v>
      </c>
      <c r="O129" s="102">
        <f t="shared" si="32"/>
        <v>136.67000000000002</v>
      </c>
      <c r="P129" s="102">
        <f t="shared" si="32"/>
        <v>13.856</v>
      </c>
      <c r="Q129" s="102">
        <f t="shared" si="32"/>
        <v>16.923999999999999</v>
      </c>
      <c r="R129" s="102">
        <f t="shared" si="32"/>
        <v>900.4</v>
      </c>
      <c r="S129" s="102">
        <f t="shared" si="32"/>
        <v>641.13</v>
      </c>
      <c r="T129" s="102">
        <f t="shared" si="32"/>
        <v>91.26400000000001</v>
      </c>
      <c r="U129" s="102">
        <f t="shared" si="32"/>
        <v>236.04</v>
      </c>
      <c r="V129" s="102">
        <f t="shared" si="32"/>
        <v>552.89</v>
      </c>
      <c r="W129" s="102">
        <f t="shared" si="32"/>
        <v>13.5745</v>
      </c>
      <c r="X129" s="102">
        <f t="shared" si="32"/>
        <v>70.790000000000006</v>
      </c>
      <c r="Y129" s="102">
        <f t="shared" si="32"/>
        <v>27.878</v>
      </c>
    </row>
    <row r="130" spans="1:25" s="19" customFormat="1" ht="22.05" customHeight="1" x14ac:dyDescent="0.3">
      <c r="A130" s="17"/>
      <c r="B130" s="95"/>
      <c r="C130" s="96"/>
      <c r="D130" s="97"/>
      <c r="E130" s="99"/>
      <c r="F130" s="99"/>
      <c r="G130" s="99"/>
      <c r="H130" s="99"/>
      <c r="I130" s="99"/>
      <c r="J130" s="101"/>
      <c r="K130" s="160"/>
      <c r="L130" s="160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</row>
    <row r="131" spans="1:25" s="19" customFormat="1" ht="22.05" customHeight="1" x14ac:dyDescent="0.3">
      <c r="A131" s="17"/>
      <c r="B131" s="95"/>
      <c r="C131" s="96"/>
      <c r="D131" s="97"/>
      <c r="E131" s="99"/>
      <c r="F131" s="99"/>
      <c r="G131" s="99"/>
      <c r="H131" s="99"/>
      <c r="I131" s="99"/>
      <c r="J131" s="101"/>
      <c r="K131" s="18"/>
      <c r="L131" s="18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</row>
    <row r="132" spans="1:25" s="19" customFormat="1" ht="22.05" customHeight="1" x14ac:dyDescent="0.3">
      <c r="A132" s="17"/>
      <c r="B132" s="225" t="s">
        <v>59</v>
      </c>
      <c r="C132" s="225"/>
      <c r="D132" s="225"/>
      <c r="E132" s="225"/>
      <c r="F132" s="225"/>
      <c r="G132" s="225"/>
      <c r="H132" s="225"/>
      <c r="I132" s="225"/>
      <c r="J132" s="225"/>
      <c r="K132" s="225"/>
      <c r="L132" s="18"/>
      <c r="M132" s="285"/>
      <c r="N132" s="285"/>
      <c r="O132" s="285"/>
      <c r="P132" s="285"/>
      <c r="Q132" s="285"/>
      <c r="R132" s="285"/>
      <c r="S132" s="285"/>
      <c r="T132" s="285"/>
      <c r="U132" s="285"/>
      <c r="V132" s="285"/>
      <c r="W132" s="285"/>
      <c r="X132" s="285"/>
      <c r="Y132" s="285"/>
    </row>
    <row r="133" spans="1:25" s="19" customFormat="1" ht="22.05" customHeight="1" x14ac:dyDescent="0.3">
      <c r="A133" s="17"/>
      <c r="B133" s="231" t="s">
        <v>70</v>
      </c>
      <c r="C133" s="225" t="s">
        <v>1</v>
      </c>
      <c r="D133" s="225"/>
      <c r="E133" s="225" t="s">
        <v>2</v>
      </c>
      <c r="F133" s="225" t="s">
        <v>3</v>
      </c>
      <c r="G133" s="225"/>
      <c r="H133" s="225"/>
      <c r="I133" s="231" t="s">
        <v>142</v>
      </c>
      <c r="J133" s="225" t="s">
        <v>72</v>
      </c>
      <c r="K133" s="269" t="s">
        <v>180</v>
      </c>
      <c r="L133" s="153"/>
      <c r="M133" s="286" t="s">
        <v>156</v>
      </c>
      <c r="N133" s="287"/>
      <c r="O133" s="287"/>
      <c r="P133" s="287"/>
      <c r="Q133" s="287"/>
      <c r="R133" s="287"/>
      <c r="S133" s="287"/>
      <c r="T133" s="287"/>
      <c r="U133" s="287"/>
      <c r="V133" s="287"/>
      <c r="W133" s="287"/>
      <c r="X133" s="287"/>
      <c r="Y133" s="288"/>
    </row>
    <row r="134" spans="1:25" s="19" customFormat="1" ht="43.8" customHeight="1" x14ac:dyDescent="0.3">
      <c r="A134" s="17"/>
      <c r="B134" s="231"/>
      <c r="C134" s="225"/>
      <c r="D134" s="225"/>
      <c r="E134" s="225"/>
      <c r="F134" s="213" t="s">
        <v>139</v>
      </c>
      <c r="G134" s="213" t="s">
        <v>140</v>
      </c>
      <c r="H134" s="213" t="s">
        <v>141</v>
      </c>
      <c r="I134" s="231"/>
      <c r="J134" s="225"/>
      <c r="K134" s="269"/>
      <c r="L134" s="154"/>
      <c r="M134" s="289" t="s">
        <v>173</v>
      </c>
      <c r="N134" s="290"/>
      <c r="O134" s="290"/>
      <c r="P134" s="290"/>
      <c r="Q134" s="290"/>
      <c r="R134" s="290"/>
      <c r="S134" s="290"/>
      <c r="T134" s="290"/>
      <c r="U134" s="290"/>
      <c r="V134" s="290"/>
      <c r="W134" s="290"/>
      <c r="X134" s="290"/>
      <c r="Y134" s="291"/>
    </row>
    <row r="135" spans="1:25" s="19" customFormat="1" ht="22.05" customHeight="1" x14ac:dyDescent="0.3">
      <c r="A135" s="12"/>
      <c r="B135" s="229" t="s">
        <v>76</v>
      </c>
      <c r="C135" s="229"/>
      <c r="D135" s="229"/>
      <c r="E135" s="229"/>
      <c r="F135" s="229"/>
      <c r="G135" s="229"/>
      <c r="H135" s="229"/>
      <c r="I135" s="229"/>
      <c r="J135" s="229"/>
      <c r="K135" s="229"/>
      <c r="L135" s="162"/>
      <c r="M135" s="81" t="s">
        <v>143</v>
      </c>
      <c r="N135" s="81" t="s">
        <v>144</v>
      </c>
      <c r="O135" s="81" t="s">
        <v>145</v>
      </c>
      <c r="P135" s="81" t="s">
        <v>147</v>
      </c>
      <c r="Q135" s="81" t="s">
        <v>146</v>
      </c>
      <c r="R135" s="81" t="s">
        <v>148</v>
      </c>
      <c r="S135" s="81" t="s">
        <v>149</v>
      </c>
      <c r="T135" s="81" t="s">
        <v>150</v>
      </c>
      <c r="U135" s="81" t="s">
        <v>151</v>
      </c>
      <c r="V135" s="81" t="s">
        <v>152</v>
      </c>
      <c r="W135" s="81" t="s">
        <v>153</v>
      </c>
      <c r="X135" s="81" t="s">
        <v>154</v>
      </c>
      <c r="Y135" s="81" t="s">
        <v>155</v>
      </c>
    </row>
    <row r="136" spans="1:25" s="19" customFormat="1" ht="22.05" customHeight="1" x14ac:dyDescent="0.3">
      <c r="A136" s="17"/>
      <c r="B136" s="230" t="s">
        <v>4</v>
      </c>
      <c r="C136" s="224" t="s">
        <v>37</v>
      </c>
      <c r="D136" s="278"/>
      <c r="E136" s="48">
        <v>220</v>
      </c>
      <c r="F136" s="49">
        <v>9.6</v>
      </c>
      <c r="G136" s="49">
        <v>11.7</v>
      </c>
      <c r="H136" s="49">
        <v>44</v>
      </c>
      <c r="I136" s="49">
        <v>318.89999999999998</v>
      </c>
      <c r="J136" s="50" t="s">
        <v>87</v>
      </c>
      <c r="K136" s="133">
        <v>23.81</v>
      </c>
      <c r="L136" s="158"/>
      <c r="M136" s="82">
        <v>0.15</v>
      </c>
      <c r="N136" s="82">
        <v>0.17</v>
      </c>
      <c r="O136" s="82">
        <v>46.99</v>
      </c>
      <c r="P136" s="82">
        <v>0.7</v>
      </c>
      <c r="Q136" s="82">
        <v>0.88</v>
      </c>
      <c r="R136" s="82">
        <v>477.84</v>
      </c>
      <c r="S136" s="82">
        <v>172.48</v>
      </c>
      <c r="T136" s="82">
        <v>130.24</v>
      </c>
      <c r="U136" s="82">
        <v>14.96</v>
      </c>
      <c r="V136" s="82">
        <v>226.16</v>
      </c>
      <c r="W136" s="82">
        <v>3.52</v>
      </c>
      <c r="X136" s="82">
        <v>54.47</v>
      </c>
      <c r="Y136" s="82">
        <v>36.08</v>
      </c>
    </row>
    <row r="137" spans="1:25" s="19" customFormat="1" ht="22.05" customHeight="1" x14ac:dyDescent="0.3">
      <c r="B137" s="230"/>
      <c r="C137" s="271" t="s">
        <v>24</v>
      </c>
      <c r="D137" s="271"/>
      <c r="E137" s="64">
        <v>10</v>
      </c>
      <c r="F137" s="58">
        <v>0.1</v>
      </c>
      <c r="G137" s="58">
        <v>8.3000000000000007</v>
      </c>
      <c r="H137" s="58">
        <v>0.1</v>
      </c>
      <c r="I137" s="58">
        <v>74.900000000000006</v>
      </c>
      <c r="J137" s="59" t="s">
        <v>212</v>
      </c>
      <c r="K137" s="210">
        <v>7.4</v>
      </c>
      <c r="L137" s="211"/>
      <c r="M137" s="203">
        <v>0</v>
      </c>
      <c r="N137" s="203">
        <v>0</v>
      </c>
      <c r="O137" s="203">
        <v>50</v>
      </c>
      <c r="P137" s="203">
        <v>0.01</v>
      </c>
      <c r="Q137" s="203">
        <v>0</v>
      </c>
      <c r="R137" s="203">
        <v>7</v>
      </c>
      <c r="S137" s="203">
        <v>2</v>
      </c>
      <c r="T137" s="203">
        <v>2</v>
      </c>
      <c r="U137" s="203">
        <v>0</v>
      </c>
      <c r="V137" s="203">
        <v>2</v>
      </c>
      <c r="W137" s="203">
        <v>0</v>
      </c>
      <c r="X137" s="203">
        <v>0</v>
      </c>
      <c r="Y137" s="203">
        <v>0</v>
      </c>
    </row>
    <row r="138" spans="1:25" s="19" customFormat="1" ht="24" customHeight="1" x14ac:dyDescent="0.3">
      <c r="A138" s="17"/>
      <c r="B138" s="230"/>
      <c r="C138" s="224" t="s">
        <v>16</v>
      </c>
      <c r="D138" s="224"/>
      <c r="E138" s="48">
        <v>15</v>
      </c>
      <c r="F138" s="49">
        <v>3.51</v>
      </c>
      <c r="G138" s="49">
        <v>4.5</v>
      </c>
      <c r="H138" s="49">
        <v>0</v>
      </c>
      <c r="I138" s="49">
        <v>54.5</v>
      </c>
      <c r="J138" s="50" t="s">
        <v>15</v>
      </c>
      <c r="K138" s="156">
        <v>10.97</v>
      </c>
      <c r="L138" s="150"/>
      <c r="M138" s="82">
        <v>0.01</v>
      </c>
      <c r="N138" s="82">
        <v>0.04</v>
      </c>
      <c r="O138" s="82">
        <v>39</v>
      </c>
      <c r="P138" s="82">
        <v>0.04</v>
      </c>
      <c r="Q138" s="82">
        <v>0</v>
      </c>
      <c r="R138" s="82">
        <v>150</v>
      </c>
      <c r="S138" s="82">
        <v>17</v>
      </c>
      <c r="T138" s="82">
        <v>150</v>
      </c>
      <c r="U138" s="82">
        <v>7</v>
      </c>
      <c r="V138" s="82">
        <v>82</v>
      </c>
      <c r="W138" s="82">
        <v>0</v>
      </c>
      <c r="X138" s="82">
        <v>0</v>
      </c>
      <c r="Y138" s="82">
        <v>0</v>
      </c>
    </row>
    <row r="139" spans="1:25" s="19" customFormat="1" ht="22.05" customHeight="1" x14ac:dyDescent="0.3">
      <c r="A139" s="17"/>
      <c r="B139" s="230"/>
      <c r="C139" s="224" t="s">
        <v>111</v>
      </c>
      <c r="D139" s="224"/>
      <c r="E139" s="48">
        <v>46</v>
      </c>
      <c r="F139" s="49">
        <f>F16/100*46</f>
        <v>1.6008</v>
      </c>
      <c r="G139" s="49">
        <f>G16/100*46</f>
        <v>0.2944</v>
      </c>
      <c r="H139" s="49">
        <f>H16/100*46</f>
        <v>9.8439999999999994</v>
      </c>
      <c r="I139" s="49">
        <f>I16/100*46</f>
        <v>61.741200000000006</v>
      </c>
      <c r="J139" s="48" t="s">
        <v>60</v>
      </c>
      <c r="K139" s="156">
        <v>4.3600000000000003</v>
      </c>
      <c r="L139" s="150"/>
      <c r="M139" s="82">
        <f t="shared" ref="M139:Y139" si="33">M16/40*46</f>
        <v>0.18860000000000002</v>
      </c>
      <c r="N139" s="82">
        <f t="shared" si="33"/>
        <v>0.11615000000000002</v>
      </c>
      <c r="O139" s="82">
        <f t="shared" si="33"/>
        <v>0</v>
      </c>
      <c r="P139" s="82">
        <f t="shared" si="33"/>
        <v>2.5760000000000005</v>
      </c>
      <c r="Q139" s="82">
        <f t="shared" si="33"/>
        <v>9.1999999999999998E-2</v>
      </c>
      <c r="R139" s="82">
        <f t="shared" si="33"/>
        <v>217.57999999999998</v>
      </c>
      <c r="S139" s="82">
        <f t="shared" si="33"/>
        <v>57.5</v>
      </c>
      <c r="T139" s="82">
        <f t="shared" si="33"/>
        <v>2.254</v>
      </c>
      <c r="U139" s="82">
        <f t="shared" si="33"/>
        <v>18.86</v>
      </c>
      <c r="V139" s="82">
        <f t="shared" si="33"/>
        <v>59.34</v>
      </c>
      <c r="W139" s="82">
        <f t="shared" si="33"/>
        <v>1.6559999999999999</v>
      </c>
      <c r="X139" s="82">
        <f t="shared" si="33"/>
        <v>0</v>
      </c>
      <c r="Y139" s="82">
        <f t="shared" si="33"/>
        <v>13.247999999999999</v>
      </c>
    </row>
    <row r="140" spans="1:25" s="19" customFormat="1" ht="30" customHeight="1" x14ac:dyDescent="0.3">
      <c r="A140" s="17"/>
      <c r="B140" s="230"/>
      <c r="C140" s="267" t="s">
        <v>18</v>
      </c>
      <c r="D140" s="267"/>
      <c r="E140" s="48">
        <v>200</v>
      </c>
      <c r="F140" s="49">
        <v>0.3</v>
      </c>
      <c r="G140" s="49">
        <v>0</v>
      </c>
      <c r="H140" s="49">
        <v>6.7</v>
      </c>
      <c r="I140" s="49">
        <v>27.6</v>
      </c>
      <c r="J140" s="50" t="s">
        <v>17</v>
      </c>
      <c r="K140" s="206">
        <v>3.22</v>
      </c>
      <c r="L140" s="207"/>
      <c r="M140" s="208">
        <v>0</v>
      </c>
      <c r="N140" s="208">
        <v>0.01</v>
      </c>
      <c r="O140" s="208">
        <v>0</v>
      </c>
      <c r="P140" s="208">
        <v>7.0000000000000007E-2</v>
      </c>
      <c r="Q140" s="208">
        <v>1</v>
      </c>
      <c r="R140" s="208">
        <v>2</v>
      </c>
      <c r="S140" s="208">
        <v>36</v>
      </c>
      <c r="T140" s="208">
        <v>6</v>
      </c>
      <c r="U140" s="208">
        <v>5</v>
      </c>
      <c r="V140" s="208">
        <v>8</v>
      </c>
      <c r="W140" s="208">
        <v>1</v>
      </c>
      <c r="X140" s="208">
        <v>0</v>
      </c>
      <c r="Y140" s="208">
        <v>0</v>
      </c>
    </row>
    <row r="141" spans="1:25" s="19" customFormat="1" ht="22.05" customHeight="1" x14ac:dyDescent="0.3">
      <c r="A141" s="17"/>
      <c r="B141" s="230"/>
      <c r="C141" s="224" t="s">
        <v>191</v>
      </c>
      <c r="D141" s="224"/>
      <c r="E141" s="48">
        <v>15</v>
      </c>
      <c r="F141" s="49">
        <v>1.05</v>
      </c>
      <c r="G141" s="49">
        <v>5.0999999999999996</v>
      </c>
      <c r="H141" s="49">
        <v>7.95</v>
      </c>
      <c r="I141" s="49">
        <v>82.5</v>
      </c>
      <c r="J141" s="48" t="s">
        <v>60</v>
      </c>
      <c r="K141" s="156">
        <v>18</v>
      </c>
      <c r="L141" s="150"/>
      <c r="M141" s="82">
        <v>0.01</v>
      </c>
      <c r="N141" s="82">
        <v>7.0000000000000007E-2</v>
      </c>
      <c r="O141" s="82">
        <v>3.3</v>
      </c>
      <c r="P141" s="82">
        <v>0.39</v>
      </c>
      <c r="Q141" s="82">
        <v>0</v>
      </c>
      <c r="R141" s="82">
        <v>20.399999999999999</v>
      </c>
      <c r="S141" s="82">
        <v>69.3</v>
      </c>
      <c r="T141" s="82">
        <v>52.8</v>
      </c>
      <c r="U141" s="82">
        <v>10.199999999999999</v>
      </c>
      <c r="V141" s="82">
        <v>46.35</v>
      </c>
      <c r="W141" s="82">
        <v>0.23</v>
      </c>
      <c r="X141" s="82">
        <v>0</v>
      </c>
      <c r="Y141" s="82">
        <v>0</v>
      </c>
    </row>
    <row r="142" spans="1:25" s="19" customFormat="1" ht="22.05" customHeight="1" x14ac:dyDescent="0.3">
      <c r="A142" s="17"/>
      <c r="B142" s="65"/>
      <c r="C142" s="272" t="s">
        <v>65</v>
      </c>
      <c r="D142" s="273"/>
      <c r="E142" s="66">
        <f>SUM(E136:E141)</f>
        <v>506</v>
      </c>
      <c r="F142" s="68">
        <f>SUM(F136:F141)</f>
        <v>16.160799999999998</v>
      </c>
      <c r="G142" s="68">
        <f>SUM(G136:G141)</f>
        <v>29.894399999999997</v>
      </c>
      <c r="H142" s="68">
        <f>SUM(H136:H141)</f>
        <v>68.594000000000008</v>
      </c>
      <c r="I142" s="68">
        <f>SUM(I136:I141)</f>
        <v>620.14119999999991</v>
      </c>
      <c r="J142" s="66"/>
      <c r="K142" s="68">
        <f>SUM(K136:K141)</f>
        <v>67.759999999999991</v>
      </c>
      <c r="L142" s="158"/>
      <c r="M142" s="102">
        <f t="shared" ref="M142:Y142" si="34">SUM(M136:M141)</f>
        <v>0.35860000000000003</v>
      </c>
      <c r="N142" s="102">
        <f t="shared" si="34"/>
        <v>0.40615000000000007</v>
      </c>
      <c r="O142" s="102">
        <f t="shared" si="34"/>
        <v>139.29000000000002</v>
      </c>
      <c r="P142" s="102">
        <f t="shared" si="34"/>
        <v>3.7860000000000005</v>
      </c>
      <c r="Q142" s="102">
        <f t="shared" si="34"/>
        <v>1.972</v>
      </c>
      <c r="R142" s="102">
        <f t="shared" si="34"/>
        <v>874.81999999999982</v>
      </c>
      <c r="S142" s="102">
        <f t="shared" si="34"/>
        <v>354.28000000000003</v>
      </c>
      <c r="T142" s="102">
        <f t="shared" si="34"/>
        <v>343.29400000000004</v>
      </c>
      <c r="U142" s="102">
        <f t="shared" si="34"/>
        <v>56.019999999999996</v>
      </c>
      <c r="V142" s="102">
        <f t="shared" si="34"/>
        <v>423.85</v>
      </c>
      <c r="W142" s="102">
        <f t="shared" si="34"/>
        <v>6.4060000000000006</v>
      </c>
      <c r="X142" s="102">
        <f t="shared" si="34"/>
        <v>54.47</v>
      </c>
      <c r="Y142" s="102">
        <f t="shared" si="34"/>
        <v>49.327999999999996</v>
      </c>
    </row>
    <row r="143" spans="1:25" s="45" customFormat="1" ht="22.05" customHeight="1" x14ac:dyDescent="0.3">
      <c r="B143" s="242" t="s">
        <v>9</v>
      </c>
      <c r="C143" s="227" t="s">
        <v>200</v>
      </c>
      <c r="D143" s="227"/>
      <c r="E143" s="57">
        <v>90</v>
      </c>
      <c r="F143" s="58">
        <v>2.1</v>
      </c>
      <c r="G143" s="58">
        <v>6.5</v>
      </c>
      <c r="H143" s="58">
        <v>10.5</v>
      </c>
      <c r="I143" s="58">
        <v>107.6</v>
      </c>
      <c r="J143" s="59" t="s">
        <v>201</v>
      </c>
      <c r="K143" s="135">
        <v>12.07</v>
      </c>
      <c r="L143" s="137"/>
      <c r="M143" s="82">
        <v>0.03</v>
      </c>
      <c r="N143" s="82">
        <v>0.02</v>
      </c>
      <c r="O143" s="82">
        <v>0</v>
      </c>
      <c r="P143" s="82">
        <v>0.3</v>
      </c>
      <c r="Q143" s="82">
        <v>6</v>
      </c>
      <c r="R143" s="82">
        <v>211.5</v>
      </c>
      <c r="S143" s="82">
        <v>223.5</v>
      </c>
      <c r="T143" s="82">
        <v>33</v>
      </c>
      <c r="U143" s="82">
        <v>27</v>
      </c>
      <c r="V143" s="82">
        <v>48</v>
      </c>
      <c r="W143" s="82">
        <v>1.5</v>
      </c>
      <c r="X143" s="82">
        <v>17.100000000000001</v>
      </c>
      <c r="Y143" s="82">
        <v>0.6</v>
      </c>
    </row>
    <row r="144" spans="1:25" s="113" customFormat="1" ht="22.05" customHeight="1" x14ac:dyDescent="0.3">
      <c r="A144" s="20"/>
      <c r="B144" s="242"/>
      <c r="C144" s="232" t="s">
        <v>33</v>
      </c>
      <c r="D144" s="232"/>
      <c r="E144" s="48">
        <v>180</v>
      </c>
      <c r="F144" s="49">
        <v>3.6</v>
      </c>
      <c r="G144" s="49">
        <v>6.84</v>
      </c>
      <c r="H144" s="49">
        <v>28.44</v>
      </c>
      <c r="I144" s="49">
        <v>189.96</v>
      </c>
      <c r="J144" s="50" t="s">
        <v>210</v>
      </c>
      <c r="K144" s="133">
        <v>34.68</v>
      </c>
      <c r="L144" s="133"/>
      <c r="M144" s="82">
        <v>0.14000000000000001</v>
      </c>
      <c r="N144" s="82">
        <v>0.08</v>
      </c>
      <c r="O144" s="82">
        <v>27.6</v>
      </c>
      <c r="P144" s="82">
        <v>1.1000000000000001</v>
      </c>
      <c r="Q144" s="82">
        <v>12</v>
      </c>
      <c r="R144" s="82">
        <v>287</v>
      </c>
      <c r="S144" s="82">
        <v>904</v>
      </c>
      <c r="T144" s="82">
        <v>48</v>
      </c>
      <c r="U144" s="82">
        <v>34</v>
      </c>
      <c r="V144" s="82">
        <v>101</v>
      </c>
      <c r="W144" s="82">
        <v>1</v>
      </c>
      <c r="X144" s="82">
        <v>34.200000000000003</v>
      </c>
      <c r="Y144" s="82">
        <v>1</v>
      </c>
    </row>
    <row r="145" spans="1:25" s="113" customFormat="1" ht="22.05" customHeight="1" x14ac:dyDescent="0.3">
      <c r="A145" s="20"/>
      <c r="B145" s="242"/>
      <c r="C145" s="232" t="s">
        <v>202</v>
      </c>
      <c r="D145" s="232"/>
      <c r="E145" s="48">
        <v>100</v>
      </c>
      <c r="F145" s="49">
        <v>13.1</v>
      </c>
      <c r="G145" s="49">
        <v>7.5</v>
      </c>
      <c r="H145" s="49">
        <v>3.1</v>
      </c>
      <c r="I145" s="49">
        <v>132.9</v>
      </c>
      <c r="J145" s="50" t="s">
        <v>203</v>
      </c>
      <c r="K145" s="133">
        <v>43.38</v>
      </c>
      <c r="L145" s="133"/>
      <c r="M145" s="112">
        <v>0.08</v>
      </c>
      <c r="N145" s="112">
        <v>0.14000000000000001</v>
      </c>
      <c r="O145" s="112">
        <v>8.6</v>
      </c>
      <c r="P145" s="112">
        <v>0.8</v>
      </c>
      <c r="Q145" s="112">
        <v>1.3</v>
      </c>
      <c r="R145" s="112">
        <v>114</v>
      </c>
      <c r="S145" s="112">
        <v>424</v>
      </c>
      <c r="T145" s="112">
        <v>40</v>
      </c>
      <c r="U145" s="112">
        <v>46</v>
      </c>
      <c r="V145" s="112">
        <v>35</v>
      </c>
      <c r="W145" s="112">
        <v>0</v>
      </c>
      <c r="X145" s="112">
        <v>133.5</v>
      </c>
      <c r="Y145" s="112">
        <v>12</v>
      </c>
    </row>
    <row r="146" spans="1:25" s="45" customFormat="1" ht="22.05" customHeight="1" x14ac:dyDescent="0.3">
      <c r="A146" s="20"/>
      <c r="B146" s="242"/>
      <c r="C146" s="224" t="s">
        <v>111</v>
      </c>
      <c r="D146" s="224"/>
      <c r="E146" s="48">
        <v>40</v>
      </c>
      <c r="F146" s="49">
        <f>F16/100*40</f>
        <v>1.3919999999999999</v>
      </c>
      <c r="G146" s="49">
        <f>G16/100*40</f>
        <v>0.25600000000000001</v>
      </c>
      <c r="H146" s="49">
        <f>H16/100*40</f>
        <v>8.56</v>
      </c>
      <c r="I146" s="49">
        <f>I16/100*40</f>
        <v>53.688000000000002</v>
      </c>
      <c r="J146" s="48" t="s">
        <v>60</v>
      </c>
      <c r="K146" s="133">
        <v>3.18</v>
      </c>
      <c r="L146" s="133"/>
      <c r="M146" s="82">
        <f t="shared" ref="M146:Y146" si="35">M16/40*40</f>
        <v>0.16400000000000001</v>
      </c>
      <c r="N146" s="82">
        <f t="shared" si="35"/>
        <v>0.10100000000000001</v>
      </c>
      <c r="O146" s="82">
        <f t="shared" si="35"/>
        <v>0</v>
      </c>
      <c r="P146" s="82">
        <f t="shared" si="35"/>
        <v>2.2400000000000002</v>
      </c>
      <c r="Q146" s="82">
        <f t="shared" si="35"/>
        <v>0.08</v>
      </c>
      <c r="R146" s="82">
        <f t="shared" si="35"/>
        <v>189.2</v>
      </c>
      <c r="S146" s="82">
        <f t="shared" si="35"/>
        <v>50</v>
      </c>
      <c r="T146" s="82">
        <f t="shared" si="35"/>
        <v>1.96</v>
      </c>
      <c r="U146" s="82">
        <f t="shared" si="35"/>
        <v>16.399999999999999</v>
      </c>
      <c r="V146" s="82">
        <f t="shared" si="35"/>
        <v>51.6</v>
      </c>
      <c r="W146" s="82">
        <f t="shared" si="35"/>
        <v>1.44</v>
      </c>
      <c r="X146" s="82">
        <f t="shared" si="35"/>
        <v>0</v>
      </c>
      <c r="Y146" s="82">
        <f t="shared" si="35"/>
        <v>11.52</v>
      </c>
    </row>
    <row r="147" spans="1:25" s="45" customFormat="1" ht="22.05" customHeight="1" x14ac:dyDescent="0.3">
      <c r="A147" s="20"/>
      <c r="B147" s="242"/>
      <c r="C147" s="224" t="s">
        <v>115</v>
      </c>
      <c r="D147" s="224"/>
      <c r="E147" s="48">
        <v>30</v>
      </c>
      <c r="F147" s="49">
        <f>F17/100*30</f>
        <v>0.56999999999999995</v>
      </c>
      <c r="G147" s="49">
        <f>G17/100*30</f>
        <v>0.13500000000000001</v>
      </c>
      <c r="H147" s="49">
        <f>H17/100*30</f>
        <v>7.5</v>
      </c>
      <c r="I147" s="49">
        <f>I17/100*30</f>
        <v>37.119</v>
      </c>
      <c r="J147" s="48" t="s">
        <v>60</v>
      </c>
      <c r="K147" s="133">
        <v>2.73</v>
      </c>
      <c r="L147" s="133"/>
      <c r="M147" s="82">
        <f t="shared" ref="M147:Y147" si="36">M17/40*30</f>
        <v>0.1275</v>
      </c>
      <c r="N147" s="82">
        <f t="shared" si="36"/>
        <v>9.7500000000000003E-2</v>
      </c>
      <c r="O147" s="82">
        <f t="shared" si="36"/>
        <v>0</v>
      </c>
      <c r="P147" s="82">
        <f t="shared" si="36"/>
        <v>1.1399999999999999</v>
      </c>
      <c r="Q147" s="82">
        <f t="shared" si="36"/>
        <v>0.12</v>
      </c>
      <c r="R147" s="82">
        <f t="shared" si="36"/>
        <v>180.89999999999998</v>
      </c>
      <c r="S147" s="82">
        <f t="shared" si="36"/>
        <v>21.9</v>
      </c>
      <c r="T147" s="82">
        <f t="shared" si="36"/>
        <v>0.36</v>
      </c>
      <c r="U147" s="82">
        <f t="shared" si="36"/>
        <v>12</v>
      </c>
      <c r="V147" s="82">
        <f t="shared" si="36"/>
        <v>37.5</v>
      </c>
      <c r="W147" s="82">
        <f t="shared" si="36"/>
        <v>0.84749999999999992</v>
      </c>
      <c r="X147" s="82">
        <f t="shared" si="36"/>
        <v>0</v>
      </c>
      <c r="Y147" s="82">
        <f t="shared" si="36"/>
        <v>9.27</v>
      </c>
    </row>
    <row r="148" spans="1:25" s="113" customFormat="1" ht="22.05" customHeight="1" x14ac:dyDescent="0.3">
      <c r="A148" s="20"/>
      <c r="B148" s="242"/>
      <c r="C148" s="224" t="s">
        <v>12</v>
      </c>
      <c r="D148" s="224"/>
      <c r="E148" s="48">
        <v>200</v>
      </c>
      <c r="F148" s="49">
        <v>2.6</v>
      </c>
      <c r="G148" s="49">
        <v>2.6</v>
      </c>
      <c r="H148" s="49">
        <v>16.8</v>
      </c>
      <c r="I148" s="49">
        <v>100.4</v>
      </c>
      <c r="J148" s="50" t="s">
        <v>11</v>
      </c>
      <c r="K148" s="133">
        <v>15.71</v>
      </c>
      <c r="L148" s="133"/>
      <c r="M148" s="112">
        <v>0</v>
      </c>
      <c r="N148" s="112">
        <v>0.13</v>
      </c>
      <c r="O148" s="112">
        <v>9.6</v>
      </c>
      <c r="P148" s="112">
        <v>0.12</v>
      </c>
      <c r="Q148" s="112">
        <v>0</v>
      </c>
      <c r="R148" s="112">
        <v>50</v>
      </c>
      <c r="S148" s="112">
        <v>199</v>
      </c>
      <c r="T148" s="112">
        <v>108</v>
      </c>
      <c r="U148" s="112">
        <v>26</v>
      </c>
      <c r="V148" s="112">
        <v>95</v>
      </c>
      <c r="W148" s="112">
        <v>1</v>
      </c>
      <c r="X148" s="112">
        <v>2.7</v>
      </c>
      <c r="Y148" s="112">
        <v>1</v>
      </c>
    </row>
    <row r="149" spans="1:25" s="45" customFormat="1" ht="22.05" customHeight="1" x14ac:dyDescent="0.3">
      <c r="A149" s="20"/>
      <c r="B149" s="79"/>
      <c r="C149" s="228" t="s">
        <v>105</v>
      </c>
      <c r="D149" s="228"/>
      <c r="E149" s="44">
        <f>SUM(E143:E148)</f>
        <v>640</v>
      </c>
      <c r="F149" s="44">
        <f>SUM(F143:F148)</f>
        <v>23.362000000000002</v>
      </c>
      <c r="G149" s="44">
        <f>SUM(G143:G148)</f>
        <v>23.831000000000003</v>
      </c>
      <c r="H149" s="44">
        <f>SUM(H143:H148)</f>
        <v>74.900000000000006</v>
      </c>
      <c r="I149" s="55">
        <f>SUM(I143:I148)</f>
        <v>621.66700000000003</v>
      </c>
      <c r="J149" s="44"/>
      <c r="K149" s="55" t="e">
        <f>SUM(#REF!)</f>
        <v>#REF!</v>
      </c>
      <c r="L149" s="133"/>
      <c r="M149" s="102">
        <f>SUM(M143:M148)</f>
        <v>0.54150000000000009</v>
      </c>
      <c r="N149" s="102">
        <f t="shared" ref="N149:Y149" si="37">SUM(N143:N148)</f>
        <v>0.56850000000000001</v>
      </c>
      <c r="O149" s="102">
        <f t="shared" si="37"/>
        <v>45.800000000000004</v>
      </c>
      <c r="P149" s="102">
        <f t="shared" si="37"/>
        <v>5.7</v>
      </c>
      <c r="Q149" s="102">
        <f t="shared" si="37"/>
        <v>19.5</v>
      </c>
      <c r="R149" s="102">
        <f t="shared" si="37"/>
        <v>1032.5999999999999</v>
      </c>
      <c r="S149" s="102">
        <f t="shared" si="37"/>
        <v>1822.4</v>
      </c>
      <c r="T149" s="102">
        <f t="shared" si="37"/>
        <v>231.32</v>
      </c>
      <c r="U149" s="102">
        <f t="shared" si="37"/>
        <v>161.4</v>
      </c>
      <c r="V149" s="102">
        <f t="shared" si="37"/>
        <v>368.1</v>
      </c>
      <c r="W149" s="102">
        <f t="shared" si="37"/>
        <v>5.7874999999999996</v>
      </c>
      <c r="X149" s="102">
        <f t="shared" si="37"/>
        <v>187.5</v>
      </c>
      <c r="Y149" s="102">
        <f t="shared" si="37"/>
        <v>35.39</v>
      </c>
    </row>
    <row r="150" spans="1:25" s="113" customFormat="1" ht="22.05" customHeight="1" x14ac:dyDescent="0.3">
      <c r="A150" s="20"/>
      <c r="B150" s="38"/>
      <c r="C150" s="39"/>
      <c r="D150" s="39"/>
      <c r="E150" s="194"/>
      <c r="F150" s="194"/>
      <c r="G150" s="91"/>
      <c r="H150" s="91"/>
      <c r="I150" s="91"/>
      <c r="J150" s="194"/>
      <c r="K150" s="194"/>
      <c r="L150" s="63"/>
      <c r="M150" s="180"/>
      <c r="N150" s="180"/>
      <c r="O150" s="180"/>
      <c r="P150" s="180"/>
      <c r="Q150" s="180"/>
      <c r="R150" s="180"/>
      <c r="S150" s="180"/>
      <c r="T150" s="180"/>
      <c r="U150" s="180"/>
      <c r="V150" s="180"/>
      <c r="W150" s="180"/>
      <c r="X150" s="180"/>
      <c r="Y150" s="180"/>
    </row>
    <row r="151" spans="1:25" s="19" customFormat="1" ht="22.05" customHeight="1" x14ac:dyDescent="0.3">
      <c r="A151" s="17"/>
      <c r="B151" s="95"/>
      <c r="C151" s="96"/>
      <c r="D151" s="97"/>
      <c r="E151" s="98"/>
      <c r="F151" s="99"/>
      <c r="G151" s="99"/>
      <c r="H151" s="98"/>
      <c r="I151" s="98"/>
      <c r="J151" s="100"/>
      <c r="K151" s="18"/>
      <c r="L151" s="18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</row>
    <row r="152" spans="1:25" s="19" customFormat="1" ht="22.05" customHeight="1" x14ac:dyDescent="0.3">
      <c r="A152" s="17"/>
      <c r="B152" s="225" t="s">
        <v>59</v>
      </c>
      <c r="C152" s="225"/>
      <c r="D152" s="225"/>
      <c r="E152" s="225"/>
      <c r="F152" s="225"/>
      <c r="G152" s="225"/>
      <c r="H152" s="225"/>
      <c r="I152" s="225"/>
      <c r="J152" s="225"/>
      <c r="K152" s="225"/>
      <c r="L152" s="18"/>
      <c r="M152" s="285"/>
      <c r="N152" s="285"/>
      <c r="O152" s="285"/>
      <c r="P152" s="285"/>
      <c r="Q152" s="285"/>
      <c r="R152" s="285"/>
      <c r="S152" s="285"/>
      <c r="T152" s="285"/>
      <c r="U152" s="285"/>
      <c r="V152" s="285"/>
      <c r="W152" s="285"/>
      <c r="X152" s="285"/>
      <c r="Y152" s="285"/>
    </row>
    <row r="153" spans="1:25" s="19" customFormat="1" ht="22.05" customHeight="1" x14ac:dyDescent="0.3">
      <c r="A153" s="17"/>
      <c r="B153" s="231" t="s">
        <v>70</v>
      </c>
      <c r="C153" s="225" t="s">
        <v>1</v>
      </c>
      <c r="D153" s="225"/>
      <c r="E153" s="225" t="s">
        <v>2</v>
      </c>
      <c r="F153" s="225" t="s">
        <v>3</v>
      </c>
      <c r="G153" s="225"/>
      <c r="H153" s="225"/>
      <c r="I153" s="231" t="s">
        <v>142</v>
      </c>
      <c r="J153" s="225" t="s">
        <v>0</v>
      </c>
      <c r="K153" s="269" t="s">
        <v>180</v>
      </c>
      <c r="L153" s="153"/>
      <c r="M153" s="286" t="s">
        <v>156</v>
      </c>
      <c r="N153" s="287"/>
      <c r="O153" s="287"/>
      <c r="P153" s="287"/>
      <c r="Q153" s="287"/>
      <c r="R153" s="287"/>
      <c r="S153" s="287"/>
      <c r="T153" s="287"/>
      <c r="U153" s="287"/>
      <c r="V153" s="287"/>
      <c r="W153" s="287"/>
      <c r="X153" s="287"/>
      <c r="Y153" s="288"/>
    </row>
    <row r="154" spans="1:25" s="19" customFormat="1" ht="43.8" customHeight="1" x14ac:dyDescent="0.3">
      <c r="A154" s="17"/>
      <c r="B154" s="231"/>
      <c r="C154" s="225"/>
      <c r="D154" s="225"/>
      <c r="E154" s="225"/>
      <c r="F154" s="213" t="s">
        <v>139</v>
      </c>
      <c r="G154" s="213" t="s">
        <v>140</v>
      </c>
      <c r="H154" s="213" t="s">
        <v>141</v>
      </c>
      <c r="I154" s="231"/>
      <c r="J154" s="225"/>
      <c r="K154" s="269"/>
      <c r="L154" s="154"/>
      <c r="M154" s="289" t="s">
        <v>174</v>
      </c>
      <c r="N154" s="290"/>
      <c r="O154" s="290"/>
      <c r="P154" s="290"/>
      <c r="Q154" s="290"/>
      <c r="R154" s="290"/>
      <c r="S154" s="290"/>
      <c r="T154" s="290"/>
      <c r="U154" s="290"/>
      <c r="V154" s="290"/>
      <c r="W154" s="290"/>
      <c r="X154" s="290"/>
      <c r="Y154" s="291"/>
    </row>
    <row r="155" spans="1:25" s="19" customFormat="1" ht="22.05" customHeight="1" x14ac:dyDescent="0.3">
      <c r="A155" s="17"/>
      <c r="B155" s="268" t="s">
        <v>80</v>
      </c>
      <c r="C155" s="268"/>
      <c r="D155" s="268"/>
      <c r="E155" s="268"/>
      <c r="F155" s="268"/>
      <c r="G155" s="268"/>
      <c r="H155" s="268"/>
      <c r="I155" s="268"/>
      <c r="J155" s="268"/>
      <c r="K155" s="268"/>
      <c r="L155" s="161"/>
      <c r="M155" s="81" t="s">
        <v>143</v>
      </c>
      <c r="N155" s="81" t="s">
        <v>144</v>
      </c>
      <c r="O155" s="81" t="s">
        <v>145</v>
      </c>
      <c r="P155" s="81" t="s">
        <v>147</v>
      </c>
      <c r="Q155" s="81" t="s">
        <v>146</v>
      </c>
      <c r="R155" s="81" t="s">
        <v>148</v>
      </c>
      <c r="S155" s="81" t="s">
        <v>149</v>
      </c>
      <c r="T155" s="81" t="s">
        <v>150</v>
      </c>
      <c r="U155" s="81" t="s">
        <v>151</v>
      </c>
      <c r="V155" s="81" t="s">
        <v>152</v>
      </c>
      <c r="W155" s="81" t="s">
        <v>153</v>
      </c>
      <c r="X155" s="81" t="s">
        <v>154</v>
      </c>
      <c r="Y155" s="81" t="s">
        <v>155</v>
      </c>
    </row>
    <row r="156" spans="1:25" s="19" customFormat="1" ht="22.05" customHeight="1" x14ac:dyDescent="0.3">
      <c r="A156" s="17"/>
      <c r="B156" s="230" t="s">
        <v>4</v>
      </c>
      <c r="C156" s="224" t="s">
        <v>138</v>
      </c>
      <c r="D156" s="275"/>
      <c r="E156" s="48">
        <v>264</v>
      </c>
      <c r="F156" s="49">
        <v>18.100000000000001</v>
      </c>
      <c r="G156" s="49">
        <v>20.3</v>
      </c>
      <c r="H156" s="49">
        <v>47.8</v>
      </c>
      <c r="I156" s="49">
        <v>451</v>
      </c>
      <c r="J156" s="50">
        <v>138</v>
      </c>
      <c r="K156" s="133">
        <v>38.5</v>
      </c>
      <c r="L156" s="158"/>
      <c r="M156" s="82">
        <v>0.1</v>
      </c>
      <c r="N156" s="82">
        <v>0.23</v>
      </c>
      <c r="O156" s="82">
        <v>62.75</v>
      </c>
      <c r="P156" s="82">
        <v>0</v>
      </c>
      <c r="Q156" s="82">
        <v>3.4</v>
      </c>
      <c r="R156" s="82">
        <v>0</v>
      </c>
      <c r="S156" s="82">
        <v>0</v>
      </c>
      <c r="T156" s="82">
        <v>154.71</v>
      </c>
      <c r="U156" s="82">
        <v>51.74</v>
      </c>
      <c r="V156" s="82">
        <v>224.48</v>
      </c>
      <c r="W156" s="82">
        <v>1.76</v>
      </c>
      <c r="X156" s="82">
        <v>0</v>
      </c>
      <c r="Y156" s="82">
        <v>0</v>
      </c>
    </row>
    <row r="157" spans="1:25" s="19" customFormat="1" ht="22.05" customHeight="1" x14ac:dyDescent="0.3">
      <c r="A157" s="17"/>
      <c r="B157" s="230"/>
      <c r="C157" s="224" t="s">
        <v>107</v>
      </c>
      <c r="D157" s="224"/>
      <c r="E157" s="48">
        <v>35</v>
      </c>
      <c r="F157" s="49">
        <f>F16/100*35</f>
        <v>1.218</v>
      </c>
      <c r="G157" s="49">
        <f>G16/100*35</f>
        <v>0.224</v>
      </c>
      <c r="H157" s="49">
        <f>H16/100*35</f>
        <v>7.49</v>
      </c>
      <c r="I157" s="49">
        <f>I16/100*35</f>
        <v>46.977000000000004</v>
      </c>
      <c r="J157" s="50" t="s">
        <v>60</v>
      </c>
      <c r="K157" s="133">
        <v>3.55</v>
      </c>
      <c r="L157" s="158"/>
      <c r="M157" s="82">
        <f t="shared" ref="M157:Y157" si="38">M16/40*35</f>
        <v>0.14350000000000002</v>
      </c>
      <c r="N157" s="82">
        <f t="shared" si="38"/>
        <v>8.8375000000000009E-2</v>
      </c>
      <c r="O157" s="82">
        <f t="shared" si="38"/>
        <v>0</v>
      </c>
      <c r="P157" s="82">
        <f t="shared" si="38"/>
        <v>1.9600000000000002</v>
      </c>
      <c r="Q157" s="82">
        <f t="shared" si="38"/>
        <v>7.0000000000000007E-2</v>
      </c>
      <c r="R157" s="82">
        <f t="shared" si="38"/>
        <v>165.54999999999998</v>
      </c>
      <c r="S157" s="82">
        <f t="shared" si="38"/>
        <v>43.75</v>
      </c>
      <c r="T157" s="82">
        <f t="shared" si="38"/>
        <v>1.7150000000000001</v>
      </c>
      <c r="U157" s="82">
        <f t="shared" si="38"/>
        <v>14.35</v>
      </c>
      <c r="V157" s="82">
        <f t="shared" si="38"/>
        <v>45.15</v>
      </c>
      <c r="W157" s="82">
        <f t="shared" si="38"/>
        <v>1.26</v>
      </c>
      <c r="X157" s="82">
        <f t="shared" si="38"/>
        <v>0</v>
      </c>
      <c r="Y157" s="82">
        <f t="shared" si="38"/>
        <v>10.08</v>
      </c>
    </row>
    <row r="158" spans="1:25" s="45" customFormat="1" ht="22.05" customHeight="1" x14ac:dyDescent="0.3">
      <c r="A158" s="20"/>
      <c r="B158" s="230"/>
      <c r="C158" s="224" t="s">
        <v>115</v>
      </c>
      <c r="D158" s="224"/>
      <c r="E158" s="48">
        <v>28</v>
      </c>
      <c r="F158" s="49">
        <f>F17/100*28</f>
        <v>0.53200000000000003</v>
      </c>
      <c r="G158" s="49">
        <f>G17/100*28</f>
        <v>0.126</v>
      </c>
      <c r="H158" s="49">
        <f>H17/100*28</f>
        <v>7</v>
      </c>
      <c r="I158" s="49">
        <f>I17/100*28</f>
        <v>34.644400000000005</v>
      </c>
      <c r="J158" s="48" t="s">
        <v>60</v>
      </c>
      <c r="K158" s="133">
        <v>2.5499999999999998</v>
      </c>
      <c r="L158" s="133"/>
      <c r="M158" s="82">
        <f t="shared" ref="M158:Y158" si="39">M17/40*28</f>
        <v>0.11900000000000001</v>
      </c>
      <c r="N158" s="82">
        <f t="shared" si="39"/>
        <v>9.1000000000000011E-2</v>
      </c>
      <c r="O158" s="82">
        <f t="shared" si="39"/>
        <v>0</v>
      </c>
      <c r="P158" s="82">
        <f t="shared" si="39"/>
        <v>1.0640000000000001</v>
      </c>
      <c r="Q158" s="82">
        <f t="shared" si="39"/>
        <v>0.112</v>
      </c>
      <c r="R158" s="82">
        <f t="shared" si="39"/>
        <v>168.83999999999997</v>
      </c>
      <c r="S158" s="82">
        <f t="shared" si="39"/>
        <v>20.439999999999998</v>
      </c>
      <c r="T158" s="82">
        <f t="shared" si="39"/>
        <v>0.33600000000000002</v>
      </c>
      <c r="U158" s="82">
        <f t="shared" si="39"/>
        <v>11.200000000000001</v>
      </c>
      <c r="V158" s="82">
        <f t="shared" si="39"/>
        <v>35</v>
      </c>
      <c r="W158" s="82">
        <f t="shared" si="39"/>
        <v>0.79099999999999993</v>
      </c>
      <c r="X158" s="82">
        <f t="shared" si="39"/>
        <v>0</v>
      </c>
      <c r="Y158" s="82">
        <f t="shared" si="39"/>
        <v>8.6519999999999992</v>
      </c>
    </row>
    <row r="159" spans="1:25" s="19" customFormat="1" ht="22.05" customHeight="1" x14ac:dyDescent="0.3">
      <c r="A159" s="17"/>
      <c r="B159" s="230"/>
      <c r="C159" s="224" t="s">
        <v>23</v>
      </c>
      <c r="D159" s="224"/>
      <c r="E159" s="48">
        <v>200</v>
      </c>
      <c r="F159" s="49">
        <v>0.2</v>
      </c>
      <c r="G159" s="49">
        <v>0</v>
      </c>
      <c r="H159" s="49">
        <v>6.4</v>
      </c>
      <c r="I159" s="49">
        <v>26.4</v>
      </c>
      <c r="J159" s="50" t="s">
        <v>22</v>
      </c>
      <c r="K159" s="133">
        <v>1.22</v>
      </c>
      <c r="L159" s="158"/>
      <c r="M159" s="82">
        <v>0</v>
      </c>
      <c r="N159" s="82">
        <v>0</v>
      </c>
      <c r="O159" s="82">
        <v>0</v>
      </c>
      <c r="P159" s="82">
        <v>0.1</v>
      </c>
      <c r="Q159" s="82">
        <v>0</v>
      </c>
      <c r="R159" s="82">
        <v>1</v>
      </c>
      <c r="S159" s="82">
        <v>25</v>
      </c>
      <c r="T159" s="82">
        <v>4</v>
      </c>
      <c r="U159" s="82">
        <v>4</v>
      </c>
      <c r="V159" s="82">
        <v>7</v>
      </c>
      <c r="W159" s="82">
        <v>1</v>
      </c>
      <c r="X159" s="82">
        <v>0</v>
      </c>
      <c r="Y159" s="82">
        <v>0</v>
      </c>
    </row>
    <row r="160" spans="1:25" s="47" customFormat="1" ht="22.05" customHeight="1" x14ac:dyDescent="0.3">
      <c r="A160" s="46"/>
      <c r="B160" s="230"/>
      <c r="C160" s="233" t="s">
        <v>41</v>
      </c>
      <c r="D160" s="234"/>
      <c r="E160" s="51">
        <v>200</v>
      </c>
      <c r="F160" s="52">
        <v>0.41</v>
      </c>
      <c r="G160" s="52">
        <v>0</v>
      </c>
      <c r="H160" s="52">
        <v>22.59</v>
      </c>
      <c r="I160" s="52">
        <v>92</v>
      </c>
      <c r="J160" s="53" t="s">
        <v>60</v>
      </c>
      <c r="K160" s="134">
        <v>36</v>
      </c>
      <c r="L160" s="134"/>
      <c r="M160" s="122">
        <v>0.02</v>
      </c>
      <c r="N160" s="122">
        <v>0.02</v>
      </c>
      <c r="O160" s="122">
        <v>0</v>
      </c>
      <c r="P160" s="122">
        <v>0.04</v>
      </c>
      <c r="Q160" s="122">
        <v>4</v>
      </c>
      <c r="R160" s="122">
        <v>12</v>
      </c>
      <c r="S160" s="122">
        <v>240</v>
      </c>
      <c r="T160" s="122">
        <v>14</v>
      </c>
      <c r="U160" s="122">
        <v>8</v>
      </c>
      <c r="V160" s="122">
        <v>14</v>
      </c>
      <c r="W160" s="122">
        <v>2.8</v>
      </c>
      <c r="X160" s="122">
        <v>2</v>
      </c>
      <c r="Y160" s="122">
        <v>0</v>
      </c>
    </row>
    <row r="161" spans="1:26" s="19" customFormat="1" ht="22.05" customHeight="1" x14ac:dyDescent="0.3">
      <c r="A161" s="17"/>
      <c r="B161" s="44"/>
      <c r="C161" s="228" t="s">
        <v>68</v>
      </c>
      <c r="D161" s="276"/>
      <c r="E161" s="44">
        <f>SUM(E156:E160)</f>
        <v>727</v>
      </c>
      <c r="F161" s="55">
        <f>SUM(F156:F160)</f>
        <v>20.46</v>
      </c>
      <c r="G161" s="55">
        <f>SUM(G156:G160)</f>
        <v>20.650000000000002</v>
      </c>
      <c r="H161" s="55">
        <f>SUM(H156:H160)</f>
        <v>91.28</v>
      </c>
      <c r="I161" s="55">
        <f>SUM(I156:I160)</f>
        <v>651.02139999999997</v>
      </c>
      <c r="J161" s="44"/>
      <c r="K161" s="55">
        <f>SUM(K156:K160)</f>
        <v>81.819999999999993</v>
      </c>
      <c r="L161" s="158"/>
      <c r="M161" s="102">
        <f t="shared" ref="M161:Y161" si="40">SUM(M156:M160)</f>
        <v>0.38250000000000006</v>
      </c>
      <c r="N161" s="102">
        <f t="shared" si="40"/>
        <v>0.42937500000000006</v>
      </c>
      <c r="O161" s="102">
        <f t="shared" si="40"/>
        <v>62.75</v>
      </c>
      <c r="P161" s="102">
        <f t="shared" si="40"/>
        <v>3.1640000000000001</v>
      </c>
      <c r="Q161" s="102">
        <f t="shared" si="40"/>
        <v>7.5819999999999999</v>
      </c>
      <c r="R161" s="102">
        <f t="shared" si="40"/>
        <v>347.39</v>
      </c>
      <c r="S161" s="102">
        <f t="shared" si="40"/>
        <v>329.19</v>
      </c>
      <c r="T161" s="102">
        <f t="shared" si="40"/>
        <v>174.76100000000002</v>
      </c>
      <c r="U161" s="102">
        <f t="shared" si="40"/>
        <v>89.29</v>
      </c>
      <c r="V161" s="102">
        <f t="shared" si="40"/>
        <v>325.63</v>
      </c>
      <c r="W161" s="102">
        <f t="shared" si="40"/>
        <v>7.6109999999999998</v>
      </c>
      <c r="X161" s="102">
        <f t="shared" si="40"/>
        <v>2</v>
      </c>
      <c r="Y161" s="102">
        <f t="shared" si="40"/>
        <v>18.731999999999999</v>
      </c>
    </row>
    <row r="162" spans="1:26" s="113" customFormat="1" ht="22.05" customHeight="1" x14ac:dyDescent="0.3">
      <c r="A162" s="20"/>
      <c r="B162" s="230" t="s">
        <v>9</v>
      </c>
      <c r="C162" s="224" t="s">
        <v>217</v>
      </c>
      <c r="D162" s="224"/>
      <c r="E162" s="48">
        <v>80</v>
      </c>
      <c r="F162" s="49">
        <v>0.7</v>
      </c>
      <c r="G162" s="49">
        <v>3.6</v>
      </c>
      <c r="H162" s="49">
        <v>1.9</v>
      </c>
      <c r="I162" s="49">
        <v>44</v>
      </c>
      <c r="J162" s="50">
        <v>9</v>
      </c>
      <c r="K162" s="133">
        <v>28.29</v>
      </c>
      <c r="L162" s="133"/>
      <c r="M162" s="112">
        <v>0.02</v>
      </c>
      <c r="N162" s="112">
        <v>0.02</v>
      </c>
      <c r="O162" s="112">
        <v>0</v>
      </c>
      <c r="P162" s="112">
        <v>0</v>
      </c>
      <c r="Q162" s="112">
        <v>3.07</v>
      </c>
      <c r="R162" s="112">
        <v>0</v>
      </c>
      <c r="S162" s="112">
        <v>0</v>
      </c>
      <c r="T162" s="112">
        <v>16.39</v>
      </c>
      <c r="U162" s="112">
        <v>9.35</v>
      </c>
      <c r="V162" s="112">
        <v>29.8</v>
      </c>
      <c r="W162" s="112">
        <v>0.42</v>
      </c>
      <c r="X162" s="112">
        <v>0</v>
      </c>
      <c r="Y162" s="112">
        <v>0</v>
      </c>
    </row>
    <row r="163" spans="1:26" s="45" customFormat="1" ht="22.05" customHeight="1" x14ac:dyDescent="0.3">
      <c r="A163" s="20"/>
      <c r="B163" s="230"/>
      <c r="C163" s="224" t="s">
        <v>20</v>
      </c>
      <c r="D163" s="224"/>
      <c r="E163" s="48">
        <v>180</v>
      </c>
      <c r="F163" s="49">
        <v>6</v>
      </c>
      <c r="G163" s="49">
        <v>6.4</v>
      </c>
      <c r="H163" s="49">
        <v>42</v>
      </c>
      <c r="I163" s="49">
        <v>249.6</v>
      </c>
      <c r="J163" s="50" t="s">
        <v>19</v>
      </c>
      <c r="K163" s="133">
        <v>10.5</v>
      </c>
      <c r="L163" s="133"/>
      <c r="M163" s="82">
        <v>7.0000000000000007E-2</v>
      </c>
      <c r="N163" s="82">
        <v>0.04</v>
      </c>
      <c r="O163" s="82">
        <v>24</v>
      </c>
      <c r="P163" s="82">
        <v>0.6</v>
      </c>
      <c r="Q163" s="82">
        <v>0</v>
      </c>
      <c r="R163" s="82">
        <v>230.4</v>
      </c>
      <c r="S163" s="82">
        <v>8.4</v>
      </c>
      <c r="T163" s="82">
        <v>70.8</v>
      </c>
      <c r="U163" s="82">
        <v>8.4</v>
      </c>
      <c r="V163" s="82">
        <v>48</v>
      </c>
      <c r="W163" s="82">
        <v>1.2</v>
      </c>
      <c r="X163" s="82">
        <v>24</v>
      </c>
      <c r="Y163" s="82">
        <v>0.1</v>
      </c>
    </row>
    <row r="164" spans="1:26" s="45" customFormat="1" ht="30" customHeight="1" x14ac:dyDescent="0.3">
      <c r="A164" s="20"/>
      <c r="B164" s="230"/>
      <c r="C164" s="224" t="s">
        <v>205</v>
      </c>
      <c r="D164" s="224"/>
      <c r="E164" s="48">
        <v>130</v>
      </c>
      <c r="F164" s="49">
        <v>15</v>
      </c>
      <c r="G164" s="49">
        <v>12.3</v>
      </c>
      <c r="H164" s="49">
        <v>7</v>
      </c>
      <c r="I164" s="49">
        <v>195.7</v>
      </c>
      <c r="J164" s="50" t="s">
        <v>206</v>
      </c>
      <c r="K164" s="133">
        <v>60.16</v>
      </c>
      <c r="L164" s="133"/>
      <c r="M164" s="82">
        <v>7.0000000000000007E-2</v>
      </c>
      <c r="N164" s="82">
        <v>0.16</v>
      </c>
      <c r="O164" s="82">
        <v>35.76</v>
      </c>
      <c r="P164" s="82">
        <v>1.9</v>
      </c>
      <c r="Q164" s="82">
        <v>0.55000000000000004</v>
      </c>
      <c r="R164" s="82">
        <v>268.89999999999998</v>
      </c>
      <c r="S164" s="82">
        <v>282.2</v>
      </c>
      <c r="T164" s="82">
        <v>40.130000000000003</v>
      </c>
      <c r="U164" s="82">
        <v>31.28</v>
      </c>
      <c r="V164" s="82">
        <v>163.78</v>
      </c>
      <c r="W164" s="82">
        <v>1.67</v>
      </c>
      <c r="X164" s="82">
        <v>29.7</v>
      </c>
      <c r="Y164" s="82">
        <v>1.6</v>
      </c>
    </row>
    <row r="165" spans="1:26" s="45" customFormat="1" ht="22.05" customHeight="1" x14ac:dyDescent="0.3">
      <c r="A165" s="20"/>
      <c r="B165" s="230"/>
      <c r="C165" s="224" t="s">
        <v>111</v>
      </c>
      <c r="D165" s="224"/>
      <c r="E165" s="48">
        <v>40</v>
      </c>
      <c r="F165" s="49">
        <f>F16/100*40</f>
        <v>1.3919999999999999</v>
      </c>
      <c r="G165" s="49">
        <f>G16/100*40</f>
        <v>0.25600000000000001</v>
      </c>
      <c r="H165" s="49">
        <f>H16/100*40</f>
        <v>8.56</v>
      </c>
      <c r="I165" s="49">
        <f>I16/100*40</f>
        <v>53.688000000000002</v>
      </c>
      <c r="J165" s="48" t="s">
        <v>60</v>
      </c>
      <c r="K165" s="133">
        <v>3.18</v>
      </c>
      <c r="L165" s="133"/>
      <c r="M165" s="82">
        <f t="shared" ref="M165:Y165" si="41">M16</f>
        <v>0.16400000000000001</v>
      </c>
      <c r="N165" s="82">
        <f t="shared" si="41"/>
        <v>0.10100000000000001</v>
      </c>
      <c r="O165" s="82">
        <f t="shared" si="41"/>
        <v>0</v>
      </c>
      <c r="P165" s="82">
        <f t="shared" si="41"/>
        <v>2.2400000000000002</v>
      </c>
      <c r="Q165" s="82">
        <f t="shared" si="41"/>
        <v>0.08</v>
      </c>
      <c r="R165" s="82">
        <f t="shared" si="41"/>
        <v>189.2</v>
      </c>
      <c r="S165" s="82">
        <f t="shared" si="41"/>
        <v>50</v>
      </c>
      <c r="T165" s="82">
        <f t="shared" si="41"/>
        <v>1.96</v>
      </c>
      <c r="U165" s="82">
        <f t="shared" si="41"/>
        <v>16.399999999999999</v>
      </c>
      <c r="V165" s="82">
        <f t="shared" si="41"/>
        <v>51.6</v>
      </c>
      <c r="W165" s="82">
        <f t="shared" si="41"/>
        <v>1.44</v>
      </c>
      <c r="X165" s="82">
        <f t="shared" si="41"/>
        <v>0</v>
      </c>
      <c r="Y165" s="82">
        <f t="shared" si="41"/>
        <v>11.52</v>
      </c>
    </row>
    <row r="166" spans="1:26" s="45" customFormat="1" ht="22.05" customHeight="1" x14ac:dyDescent="0.3">
      <c r="A166" s="20"/>
      <c r="B166" s="230"/>
      <c r="C166" s="224" t="s">
        <v>115</v>
      </c>
      <c r="D166" s="224"/>
      <c r="E166" s="48">
        <v>29</v>
      </c>
      <c r="F166" s="49">
        <f>F17/100*29</f>
        <v>0.55099999999999993</v>
      </c>
      <c r="G166" s="49">
        <f>G17/100*29</f>
        <v>0.1305</v>
      </c>
      <c r="H166" s="49">
        <f>H17/100*29</f>
        <v>7.25</v>
      </c>
      <c r="I166" s="49">
        <f>I17/100*29</f>
        <v>35.881700000000002</v>
      </c>
      <c r="J166" s="48" t="s">
        <v>60</v>
      </c>
      <c r="K166" s="133">
        <v>2.5499999999999998</v>
      </c>
      <c r="L166" s="133"/>
      <c r="M166" s="82">
        <f t="shared" ref="M166:Y166" si="42">M17/40*29</f>
        <v>0.12325000000000001</v>
      </c>
      <c r="N166" s="82">
        <f t="shared" si="42"/>
        <v>9.4250000000000014E-2</v>
      </c>
      <c r="O166" s="82">
        <f t="shared" si="42"/>
        <v>0</v>
      </c>
      <c r="P166" s="82">
        <f t="shared" si="42"/>
        <v>1.1019999999999999</v>
      </c>
      <c r="Q166" s="82">
        <f t="shared" si="42"/>
        <v>0.11600000000000001</v>
      </c>
      <c r="R166" s="82">
        <f t="shared" si="42"/>
        <v>174.86999999999998</v>
      </c>
      <c r="S166" s="82">
        <f t="shared" si="42"/>
        <v>21.169999999999998</v>
      </c>
      <c r="T166" s="82">
        <f t="shared" si="42"/>
        <v>0.34800000000000003</v>
      </c>
      <c r="U166" s="82">
        <f t="shared" si="42"/>
        <v>11.600000000000001</v>
      </c>
      <c r="V166" s="82">
        <f t="shared" si="42"/>
        <v>36.25</v>
      </c>
      <c r="W166" s="82">
        <f t="shared" si="42"/>
        <v>0.81924999999999992</v>
      </c>
      <c r="X166" s="82">
        <f t="shared" si="42"/>
        <v>0</v>
      </c>
      <c r="Y166" s="82">
        <f t="shared" si="42"/>
        <v>8.9610000000000003</v>
      </c>
    </row>
    <row r="167" spans="1:26" s="19" customFormat="1" ht="22.05" customHeight="1" x14ac:dyDescent="0.3">
      <c r="A167" s="17"/>
      <c r="B167" s="230"/>
      <c r="C167" s="224" t="s">
        <v>23</v>
      </c>
      <c r="D167" s="224"/>
      <c r="E167" s="48">
        <v>200</v>
      </c>
      <c r="F167" s="49">
        <v>2</v>
      </c>
      <c r="G167" s="49">
        <v>0</v>
      </c>
      <c r="H167" s="49">
        <v>6.4</v>
      </c>
      <c r="I167" s="49">
        <v>26.4</v>
      </c>
      <c r="J167" s="50" t="s">
        <v>22</v>
      </c>
      <c r="K167" s="156">
        <v>1.22</v>
      </c>
      <c r="L167" s="150"/>
      <c r="M167" s="82">
        <v>0</v>
      </c>
      <c r="N167" s="82">
        <v>0</v>
      </c>
      <c r="O167" s="82">
        <v>0</v>
      </c>
      <c r="P167" s="82">
        <v>0.1</v>
      </c>
      <c r="Q167" s="82">
        <v>0</v>
      </c>
      <c r="R167" s="82">
        <v>1</v>
      </c>
      <c r="S167" s="82">
        <v>25</v>
      </c>
      <c r="T167" s="82">
        <v>4</v>
      </c>
      <c r="U167" s="82">
        <v>4</v>
      </c>
      <c r="V167" s="82">
        <v>7</v>
      </c>
      <c r="W167" s="82">
        <v>1</v>
      </c>
      <c r="X167" s="82">
        <v>0</v>
      </c>
      <c r="Y167" s="82">
        <v>0</v>
      </c>
    </row>
    <row r="168" spans="1:26" s="45" customFormat="1" ht="22.05" customHeight="1" x14ac:dyDescent="0.3">
      <c r="A168" s="14"/>
      <c r="B168" s="43"/>
      <c r="C168" s="228" t="s">
        <v>61</v>
      </c>
      <c r="D168" s="228"/>
      <c r="E168" s="44">
        <f>SUM(E162:E167)</f>
        <v>659</v>
      </c>
      <c r="F168" s="55">
        <f>SUM(F162:F167)</f>
        <v>25.642999999999997</v>
      </c>
      <c r="G168" s="55">
        <f>SUM(G162:G167)</f>
        <v>22.686500000000002</v>
      </c>
      <c r="H168" s="55">
        <f>SUM(H162:H167)</f>
        <v>73.110000000000014</v>
      </c>
      <c r="I168" s="55">
        <f>SUM(I162:I167)</f>
        <v>605.26970000000006</v>
      </c>
      <c r="J168" s="55"/>
      <c r="K168" s="55" t="e">
        <f>SUM(#REF!)</f>
        <v>#REF!</v>
      </c>
      <c r="L168" s="133"/>
      <c r="M168" s="102">
        <f>SUM(M162:M167)</f>
        <v>0.44725000000000009</v>
      </c>
      <c r="N168" s="102">
        <f t="shared" ref="N168:Y168" si="43">SUM(N162:N167)</f>
        <v>0.41525000000000001</v>
      </c>
      <c r="O168" s="102">
        <f t="shared" si="43"/>
        <v>59.76</v>
      </c>
      <c r="P168" s="102">
        <f t="shared" si="43"/>
        <v>5.9420000000000002</v>
      </c>
      <c r="Q168" s="102">
        <f t="shared" si="43"/>
        <v>3.8160000000000003</v>
      </c>
      <c r="R168" s="102">
        <f t="shared" si="43"/>
        <v>864.37</v>
      </c>
      <c r="S168" s="102">
        <f t="shared" si="43"/>
        <v>386.77</v>
      </c>
      <c r="T168" s="102">
        <f t="shared" si="43"/>
        <v>133.62800000000001</v>
      </c>
      <c r="U168" s="102">
        <f t="shared" si="43"/>
        <v>81.03</v>
      </c>
      <c r="V168" s="102">
        <f t="shared" si="43"/>
        <v>336.43</v>
      </c>
      <c r="W168" s="102">
        <f t="shared" si="43"/>
        <v>6.5492500000000007</v>
      </c>
      <c r="X168" s="102">
        <f t="shared" si="43"/>
        <v>53.7</v>
      </c>
      <c r="Y168" s="102">
        <f t="shared" si="43"/>
        <v>22.180999999999997</v>
      </c>
    </row>
    <row r="169" spans="1:26" s="113" customFormat="1" ht="22.05" customHeight="1" x14ac:dyDescent="0.3">
      <c r="A169" s="14"/>
      <c r="B169" s="35"/>
      <c r="C169" s="39"/>
      <c r="D169" s="39"/>
      <c r="E169" s="205"/>
      <c r="F169" s="205"/>
      <c r="G169" s="205"/>
      <c r="H169" s="205"/>
      <c r="I169" s="205"/>
      <c r="J169" s="91"/>
      <c r="K169" s="91"/>
      <c r="L169" s="91"/>
      <c r="M169" s="180"/>
      <c r="N169" s="180"/>
      <c r="O169" s="180"/>
      <c r="P169" s="180"/>
      <c r="Q169" s="180"/>
      <c r="R169" s="180"/>
      <c r="S169" s="180"/>
      <c r="T169" s="180"/>
      <c r="U169" s="180"/>
      <c r="V169" s="180"/>
      <c r="W169" s="180"/>
      <c r="X169" s="180"/>
      <c r="Y169" s="180"/>
    </row>
    <row r="170" spans="1:26" s="19" customFormat="1" ht="22.05" customHeight="1" x14ac:dyDescent="0.3">
      <c r="A170" s="17"/>
      <c r="B170" s="89"/>
      <c r="C170" s="39"/>
      <c r="D170" s="70"/>
      <c r="E170" s="89"/>
      <c r="F170" s="89"/>
      <c r="G170" s="89"/>
      <c r="H170" s="89"/>
      <c r="I170" s="89"/>
      <c r="J170" s="89"/>
      <c r="K170" s="160" t="e">
        <f>K161+#REF!</f>
        <v>#REF!</v>
      </c>
      <c r="L170" s="160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</row>
    <row r="171" spans="1:26" s="19" customFormat="1" ht="22.05" customHeight="1" x14ac:dyDescent="0.3">
      <c r="A171" s="17"/>
      <c r="B171" s="225" t="s">
        <v>59</v>
      </c>
      <c r="C171" s="225"/>
      <c r="D171" s="225"/>
      <c r="E171" s="225"/>
      <c r="F171" s="225"/>
      <c r="G171" s="225"/>
      <c r="H171" s="225"/>
      <c r="I171" s="225"/>
      <c r="J171" s="225"/>
      <c r="K171" s="225"/>
      <c r="L171" s="18"/>
      <c r="M171" s="285"/>
      <c r="N171" s="285"/>
      <c r="O171" s="285"/>
      <c r="P171" s="285"/>
      <c r="Q171" s="285"/>
      <c r="R171" s="285"/>
      <c r="S171" s="285"/>
      <c r="T171" s="285"/>
      <c r="U171" s="285"/>
      <c r="V171" s="285"/>
      <c r="W171" s="285"/>
      <c r="X171" s="285"/>
      <c r="Y171" s="285"/>
      <c r="Z171" s="105"/>
    </row>
    <row r="172" spans="1:26" s="19" customFormat="1" ht="22.05" customHeight="1" x14ac:dyDescent="0.3">
      <c r="A172" s="17"/>
      <c r="B172" s="231" t="s">
        <v>70</v>
      </c>
      <c r="C172" s="225" t="s">
        <v>1</v>
      </c>
      <c r="D172" s="225"/>
      <c r="E172" s="225" t="s">
        <v>2</v>
      </c>
      <c r="F172" s="225" t="s">
        <v>3</v>
      </c>
      <c r="G172" s="225"/>
      <c r="H172" s="225"/>
      <c r="I172" s="231" t="s">
        <v>142</v>
      </c>
      <c r="J172" s="225" t="s">
        <v>0</v>
      </c>
      <c r="K172" s="269" t="s">
        <v>180</v>
      </c>
      <c r="L172" s="153"/>
      <c r="M172" s="286" t="s">
        <v>156</v>
      </c>
      <c r="N172" s="287"/>
      <c r="O172" s="287"/>
      <c r="P172" s="287"/>
      <c r="Q172" s="287"/>
      <c r="R172" s="287"/>
      <c r="S172" s="287"/>
      <c r="T172" s="287"/>
      <c r="U172" s="287"/>
      <c r="V172" s="287"/>
      <c r="W172" s="287"/>
      <c r="X172" s="287"/>
      <c r="Y172" s="288"/>
    </row>
    <row r="173" spans="1:26" s="19" customFormat="1" ht="46.8" customHeight="1" x14ac:dyDescent="0.3">
      <c r="A173" s="17"/>
      <c r="B173" s="231"/>
      <c r="C173" s="225"/>
      <c r="D173" s="225"/>
      <c r="E173" s="225"/>
      <c r="F173" s="213" t="s">
        <v>139</v>
      </c>
      <c r="G173" s="213" t="s">
        <v>140</v>
      </c>
      <c r="H173" s="213" t="s">
        <v>141</v>
      </c>
      <c r="I173" s="231"/>
      <c r="J173" s="225"/>
      <c r="K173" s="269"/>
      <c r="L173" s="154"/>
      <c r="M173" s="289" t="s">
        <v>175</v>
      </c>
      <c r="N173" s="290"/>
      <c r="O173" s="290"/>
      <c r="P173" s="290"/>
      <c r="Q173" s="290"/>
      <c r="R173" s="290"/>
      <c r="S173" s="290"/>
      <c r="T173" s="290"/>
      <c r="U173" s="290"/>
      <c r="V173" s="290"/>
      <c r="W173" s="290"/>
      <c r="X173" s="290"/>
      <c r="Y173" s="291"/>
    </row>
    <row r="174" spans="1:26" s="19" customFormat="1" ht="22.05" customHeight="1" x14ac:dyDescent="0.3">
      <c r="A174" s="17"/>
      <c r="B174" s="268" t="s">
        <v>81</v>
      </c>
      <c r="C174" s="268"/>
      <c r="D174" s="268"/>
      <c r="E174" s="268"/>
      <c r="F174" s="268"/>
      <c r="G174" s="268"/>
      <c r="H174" s="268"/>
      <c r="I174" s="268"/>
      <c r="J174" s="268"/>
      <c r="K174" s="268"/>
      <c r="L174" s="161"/>
      <c r="M174" s="81" t="s">
        <v>143</v>
      </c>
      <c r="N174" s="81" t="s">
        <v>144</v>
      </c>
      <c r="O174" s="81" t="s">
        <v>145</v>
      </c>
      <c r="P174" s="81" t="s">
        <v>147</v>
      </c>
      <c r="Q174" s="81" t="s">
        <v>146</v>
      </c>
      <c r="R174" s="81" t="s">
        <v>148</v>
      </c>
      <c r="S174" s="81" t="s">
        <v>149</v>
      </c>
      <c r="T174" s="81" t="s">
        <v>150</v>
      </c>
      <c r="U174" s="81" t="s">
        <v>151</v>
      </c>
      <c r="V174" s="81" t="s">
        <v>152</v>
      </c>
      <c r="W174" s="81" t="s">
        <v>153</v>
      </c>
      <c r="X174" s="81" t="s">
        <v>154</v>
      </c>
      <c r="Y174" s="81" t="s">
        <v>155</v>
      </c>
    </row>
    <row r="175" spans="1:26" s="19" customFormat="1" ht="22.05" customHeight="1" x14ac:dyDescent="0.3">
      <c r="A175" s="17"/>
      <c r="B175" s="230" t="s">
        <v>4</v>
      </c>
      <c r="C175" s="224" t="s">
        <v>162</v>
      </c>
      <c r="D175" s="224"/>
      <c r="E175" s="48">
        <v>250</v>
      </c>
      <c r="F175" s="49">
        <v>6.58</v>
      </c>
      <c r="G175" s="49">
        <v>6.9</v>
      </c>
      <c r="H175" s="49">
        <v>23</v>
      </c>
      <c r="I175" s="49">
        <v>180.48</v>
      </c>
      <c r="J175" s="50" t="s">
        <v>27</v>
      </c>
      <c r="K175" s="133">
        <v>18.59</v>
      </c>
      <c r="L175" s="158"/>
      <c r="M175" s="82">
        <v>0.06</v>
      </c>
      <c r="N175" s="82">
        <v>0.2</v>
      </c>
      <c r="O175" s="82">
        <v>28.5</v>
      </c>
      <c r="P175" s="82">
        <v>0.33</v>
      </c>
      <c r="Q175" s="82">
        <v>0.75</v>
      </c>
      <c r="R175" s="82">
        <v>182.75</v>
      </c>
      <c r="S175" s="82">
        <v>258</v>
      </c>
      <c r="T175" s="82">
        <v>209.5</v>
      </c>
      <c r="U175" s="82">
        <v>24.25</v>
      </c>
      <c r="V175" s="82">
        <v>154.25</v>
      </c>
      <c r="W175" s="82">
        <v>0.5</v>
      </c>
      <c r="X175" s="82">
        <v>25.75</v>
      </c>
      <c r="Y175" s="82">
        <v>3</v>
      </c>
    </row>
    <row r="176" spans="1:26" s="19" customFormat="1" ht="22.05" customHeight="1" x14ac:dyDescent="0.3">
      <c r="B176" s="230"/>
      <c r="C176" s="271" t="s">
        <v>24</v>
      </c>
      <c r="D176" s="271"/>
      <c r="E176" s="64">
        <v>10</v>
      </c>
      <c r="F176" s="58">
        <v>0.1</v>
      </c>
      <c r="G176" s="58">
        <v>8.3000000000000007</v>
      </c>
      <c r="H176" s="58">
        <v>0.1</v>
      </c>
      <c r="I176" s="58">
        <v>74.900000000000006</v>
      </c>
      <c r="J176" s="59" t="s">
        <v>212</v>
      </c>
      <c r="K176" s="210">
        <v>7.4</v>
      </c>
      <c r="L176" s="211"/>
      <c r="M176" s="203">
        <v>0</v>
      </c>
      <c r="N176" s="203">
        <v>0</v>
      </c>
      <c r="O176" s="203">
        <v>50</v>
      </c>
      <c r="P176" s="203">
        <v>0.01</v>
      </c>
      <c r="Q176" s="203">
        <v>0</v>
      </c>
      <c r="R176" s="203">
        <v>7</v>
      </c>
      <c r="S176" s="203">
        <v>2</v>
      </c>
      <c r="T176" s="203">
        <v>2</v>
      </c>
      <c r="U176" s="203">
        <v>0</v>
      </c>
      <c r="V176" s="203">
        <v>2</v>
      </c>
      <c r="W176" s="203">
        <v>0</v>
      </c>
      <c r="X176" s="203">
        <v>0</v>
      </c>
      <c r="Y176" s="203">
        <v>0</v>
      </c>
    </row>
    <row r="177" spans="1:25" s="19" customFormat="1" ht="22.05" customHeight="1" x14ac:dyDescent="0.3">
      <c r="A177" s="17"/>
      <c r="B177" s="230"/>
      <c r="C177" s="224" t="s">
        <v>111</v>
      </c>
      <c r="D177" s="224"/>
      <c r="E177" s="48">
        <v>35</v>
      </c>
      <c r="F177" s="49">
        <f>F16/100*35</f>
        <v>1.218</v>
      </c>
      <c r="G177" s="49">
        <f>G16/100*35</f>
        <v>0.224</v>
      </c>
      <c r="H177" s="49">
        <f>H16/100*35</f>
        <v>7.49</v>
      </c>
      <c r="I177" s="49">
        <f>I16/100*35</f>
        <v>46.977000000000004</v>
      </c>
      <c r="J177" s="48" t="s">
        <v>60</v>
      </c>
      <c r="K177" s="133">
        <v>2.73</v>
      </c>
      <c r="L177" s="158"/>
      <c r="M177" s="82">
        <f t="shared" ref="M177:Y177" si="44">M16/40*35</f>
        <v>0.14350000000000002</v>
      </c>
      <c r="N177" s="82">
        <f t="shared" si="44"/>
        <v>8.8375000000000009E-2</v>
      </c>
      <c r="O177" s="82">
        <f t="shared" si="44"/>
        <v>0</v>
      </c>
      <c r="P177" s="82">
        <f t="shared" si="44"/>
        <v>1.9600000000000002</v>
      </c>
      <c r="Q177" s="82">
        <f t="shared" si="44"/>
        <v>7.0000000000000007E-2</v>
      </c>
      <c r="R177" s="82">
        <f t="shared" si="44"/>
        <v>165.54999999999998</v>
      </c>
      <c r="S177" s="82">
        <f t="shared" si="44"/>
        <v>43.75</v>
      </c>
      <c r="T177" s="82">
        <f t="shared" si="44"/>
        <v>1.7150000000000001</v>
      </c>
      <c r="U177" s="82">
        <f t="shared" si="44"/>
        <v>14.35</v>
      </c>
      <c r="V177" s="82">
        <f t="shared" si="44"/>
        <v>45.15</v>
      </c>
      <c r="W177" s="82">
        <f t="shared" si="44"/>
        <v>1.26</v>
      </c>
      <c r="X177" s="82">
        <f t="shared" si="44"/>
        <v>0</v>
      </c>
      <c r="Y177" s="82">
        <f t="shared" si="44"/>
        <v>10.08</v>
      </c>
    </row>
    <row r="178" spans="1:25" s="19" customFormat="1" ht="22.05" customHeight="1" x14ac:dyDescent="0.3">
      <c r="A178" s="17"/>
      <c r="B178" s="230"/>
      <c r="C178" s="224" t="s">
        <v>12</v>
      </c>
      <c r="D178" s="224"/>
      <c r="E178" s="48">
        <v>200</v>
      </c>
      <c r="F178" s="49">
        <v>3.5</v>
      </c>
      <c r="G178" s="49">
        <v>3.4</v>
      </c>
      <c r="H178" s="49">
        <v>22.3</v>
      </c>
      <c r="I178" s="49">
        <v>133.4</v>
      </c>
      <c r="J178" s="50" t="s">
        <v>11</v>
      </c>
      <c r="K178" s="133">
        <v>14.55</v>
      </c>
      <c r="L178" s="158"/>
      <c r="M178" s="82">
        <v>0</v>
      </c>
      <c r="N178" s="82">
        <v>0.13</v>
      </c>
      <c r="O178" s="82">
        <v>9.6</v>
      </c>
      <c r="P178" s="82">
        <v>0.12</v>
      </c>
      <c r="Q178" s="82">
        <v>0</v>
      </c>
      <c r="R178" s="82">
        <v>50</v>
      </c>
      <c r="S178" s="82">
        <v>199</v>
      </c>
      <c r="T178" s="82">
        <v>108</v>
      </c>
      <c r="U178" s="82">
        <v>26</v>
      </c>
      <c r="V178" s="82">
        <v>95</v>
      </c>
      <c r="W178" s="82">
        <v>1</v>
      </c>
      <c r="X178" s="82">
        <v>2.7</v>
      </c>
      <c r="Y178" s="82">
        <v>1</v>
      </c>
    </row>
    <row r="179" spans="1:25" s="19" customFormat="1" ht="22.05" customHeight="1" x14ac:dyDescent="0.3">
      <c r="A179" s="17"/>
      <c r="B179" s="230"/>
      <c r="C179" s="224" t="s">
        <v>39</v>
      </c>
      <c r="D179" s="224"/>
      <c r="E179" s="48">
        <v>130</v>
      </c>
      <c r="F179" s="49">
        <v>0.5</v>
      </c>
      <c r="G179" s="49">
        <v>0.5</v>
      </c>
      <c r="H179" s="49">
        <v>12.7</v>
      </c>
      <c r="I179" s="49">
        <v>60.9</v>
      </c>
      <c r="J179" s="50">
        <v>338</v>
      </c>
      <c r="K179" s="156">
        <v>44</v>
      </c>
      <c r="L179" s="150"/>
      <c r="M179" s="82">
        <v>0.05</v>
      </c>
      <c r="N179" s="82">
        <v>0.03</v>
      </c>
      <c r="O179" s="82">
        <v>6.5</v>
      </c>
      <c r="P179" s="82">
        <v>0.49</v>
      </c>
      <c r="Q179" s="82">
        <v>13</v>
      </c>
      <c r="R179" s="82">
        <v>33.799999999999997</v>
      </c>
      <c r="S179" s="82">
        <v>361.4</v>
      </c>
      <c r="T179" s="82">
        <v>20.8</v>
      </c>
      <c r="U179" s="82">
        <v>11.7</v>
      </c>
      <c r="V179" s="82">
        <v>14.3</v>
      </c>
      <c r="W179" s="82">
        <v>2.86</v>
      </c>
      <c r="X179" s="82">
        <v>2.6</v>
      </c>
      <c r="Y179" s="82">
        <v>0.39</v>
      </c>
    </row>
    <row r="180" spans="1:25" s="19" customFormat="1" ht="22.05" customHeight="1" x14ac:dyDescent="0.3">
      <c r="A180" s="17"/>
      <c r="B180" s="65"/>
      <c r="C180" s="272" t="s">
        <v>65</v>
      </c>
      <c r="D180" s="273"/>
      <c r="E180" s="66">
        <f>SUM(E175:E179)</f>
        <v>625</v>
      </c>
      <c r="F180" s="66">
        <f>SUM(F175:F179)</f>
        <v>11.898</v>
      </c>
      <c r="G180" s="68">
        <f>SUM(G175:G179)</f>
        <v>19.324000000000002</v>
      </c>
      <c r="H180" s="66">
        <f>SUM(H175:H179)</f>
        <v>65.59</v>
      </c>
      <c r="I180" s="68">
        <f>SUM(I175:I179)</f>
        <v>496.65699999999993</v>
      </c>
      <c r="J180" s="66"/>
      <c r="K180" s="68">
        <f>SUM(K175:K179)</f>
        <v>87.27000000000001</v>
      </c>
      <c r="L180" s="158"/>
      <c r="M180" s="102">
        <f>SUM(M175:M179)</f>
        <v>0.2535</v>
      </c>
      <c r="N180" s="102">
        <f t="shared" ref="N180:Y180" si="45">SUM(N175:N179)</f>
        <v>0.44837500000000008</v>
      </c>
      <c r="O180" s="102">
        <f t="shared" si="45"/>
        <v>94.6</v>
      </c>
      <c r="P180" s="102">
        <f t="shared" si="45"/>
        <v>2.91</v>
      </c>
      <c r="Q180" s="102">
        <f t="shared" si="45"/>
        <v>13.82</v>
      </c>
      <c r="R180" s="102">
        <f t="shared" si="45"/>
        <v>439.09999999999997</v>
      </c>
      <c r="S180" s="102">
        <f t="shared" si="45"/>
        <v>864.15</v>
      </c>
      <c r="T180" s="102">
        <f t="shared" si="45"/>
        <v>342.01500000000004</v>
      </c>
      <c r="U180" s="102">
        <f t="shared" si="45"/>
        <v>76.3</v>
      </c>
      <c r="V180" s="102">
        <f t="shared" si="45"/>
        <v>310.7</v>
      </c>
      <c r="W180" s="102">
        <f t="shared" si="45"/>
        <v>5.6199999999999992</v>
      </c>
      <c r="X180" s="102">
        <f t="shared" si="45"/>
        <v>31.05</v>
      </c>
      <c r="Y180" s="102">
        <f t="shared" si="45"/>
        <v>14.47</v>
      </c>
    </row>
    <row r="181" spans="1:25" s="45" customFormat="1" ht="28.2" customHeight="1" x14ac:dyDescent="0.3">
      <c r="A181" s="20"/>
      <c r="B181" s="230" t="s">
        <v>9</v>
      </c>
      <c r="C181" s="224" t="s">
        <v>69</v>
      </c>
      <c r="D181" s="224"/>
      <c r="E181" s="48">
        <v>120</v>
      </c>
      <c r="F181" s="49">
        <v>0.8</v>
      </c>
      <c r="G181" s="49">
        <v>0</v>
      </c>
      <c r="H181" s="49">
        <v>5</v>
      </c>
      <c r="I181" s="49">
        <v>23</v>
      </c>
      <c r="J181" s="50" t="s">
        <v>193</v>
      </c>
      <c r="K181" s="133">
        <v>11.06</v>
      </c>
      <c r="L181" s="133"/>
      <c r="M181" s="82">
        <v>0.08</v>
      </c>
      <c r="N181" s="82">
        <v>0.04</v>
      </c>
      <c r="O181" s="82">
        <v>160</v>
      </c>
      <c r="P181" s="82">
        <v>0.64</v>
      </c>
      <c r="Q181" s="82">
        <v>30</v>
      </c>
      <c r="R181" s="82">
        <v>48</v>
      </c>
      <c r="S181" s="82">
        <v>348</v>
      </c>
      <c r="T181" s="82">
        <v>16</v>
      </c>
      <c r="U181" s="82">
        <v>24</v>
      </c>
      <c r="V181" s="82">
        <v>32</v>
      </c>
      <c r="W181" s="82">
        <v>2</v>
      </c>
      <c r="X181" s="82">
        <v>2.4</v>
      </c>
      <c r="Y181" s="82">
        <v>0</v>
      </c>
    </row>
    <row r="182" spans="1:25" s="113" customFormat="1" ht="22.05" customHeight="1" x14ac:dyDescent="0.3">
      <c r="A182" s="20"/>
      <c r="B182" s="230"/>
      <c r="C182" s="224" t="s">
        <v>26</v>
      </c>
      <c r="D182" s="224"/>
      <c r="E182" s="48">
        <v>240</v>
      </c>
      <c r="F182" s="49">
        <v>6.32</v>
      </c>
      <c r="G182" s="49">
        <v>9.19</v>
      </c>
      <c r="H182" s="49">
        <v>35.64</v>
      </c>
      <c r="I182" s="49">
        <v>249.96</v>
      </c>
      <c r="J182" s="50" t="s">
        <v>25</v>
      </c>
      <c r="K182" s="133">
        <v>46.95</v>
      </c>
      <c r="L182" s="133"/>
      <c r="M182" s="112">
        <v>0.16</v>
      </c>
      <c r="N182" s="112">
        <v>0.2</v>
      </c>
      <c r="O182" s="112">
        <v>24</v>
      </c>
      <c r="P182" s="112">
        <v>7</v>
      </c>
      <c r="Q182" s="112">
        <v>12</v>
      </c>
      <c r="R182" s="112">
        <v>387.9</v>
      </c>
      <c r="S182" s="112">
        <v>1228</v>
      </c>
      <c r="T182" s="112">
        <v>34.1</v>
      </c>
      <c r="U182" s="112">
        <v>56.5</v>
      </c>
      <c r="V182" s="112">
        <v>353.6</v>
      </c>
      <c r="W182" s="112">
        <v>4.5</v>
      </c>
      <c r="X182" s="112">
        <v>25.1</v>
      </c>
      <c r="Y182" s="112">
        <v>0.5</v>
      </c>
    </row>
    <row r="183" spans="1:25" s="45" customFormat="1" ht="22.05" customHeight="1" x14ac:dyDescent="0.3">
      <c r="A183" s="20"/>
      <c r="B183" s="230"/>
      <c r="C183" s="224" t="s">
        <v>111</v>
      </c>
      <c r="D183" s="224"/>
      <c r="E183" s="48">
        <v>48</v>
      </c>
      <c r="F183" s="49">
        <f>F16/100*48</f>
        <v>1.6703999999999999</v>
      </c>
      <c r="G183" s="49">
        <f>G16/100*48</f>
        <v>0.30720000000000003</v>
      </c>
      <c r="H183" s="49">
        <f>H16/100*48</f>
        <v>10.272</v>
      </c>
      <c r="I183" s="49">
        <f>I16/100*48</f>
        <v>64.425600000000003</v>
      </c>
      <c r="J183" s="48" t="s">
        <v>60</v>
      </c>
      <c r="K183" s="133">
        <v>4</v>
      </c>
      <c r="L183" s="133"/>
      <c r="M183" s="82">
        <f t="shared" ref="M183:Y183" si="46">M16/40*48</f>
        <v>0.19680000000000003</v>
      </c>
      <c r="N183" s="82">
        <f t="shared" si="46"/>
        <v>0.12120000000000002</v>
      </c>
      <c r="O183" s="82">
        <f t="shared" si="46"/>
        <v>0</v>
      </c>
      <c r="P183" s="82">
        <f t="shared" si="46"/>
        <v>2.6880000000000006</v>
      </c>
      <c r="Q183" s="82">
        <f t="shared" si="46"/>
        <v>9.6000000000000002E-2</v>
      </c>
      <c r="R183" s="82">
        <f t="shared" si="46"/>
        <v>227.03999999999996</v>
      </c>
      <c r="S183" s="82">
        <f t="shared" si="46"/>
        <v>60</v>
      </c>
      <c r="T183" s="82">
        <f t="shared" si="46"/>
        <v>2.3520000000000003</v>
      </c>
      <c r="U183" s="82">
        <f t="shared" si="46"/>
        <v>19.68</v>
      </c>
      <c r="V183" s="82">
        <f t="shared" si="46"/>
        <v>61.92</v>
      </c>
      <c r="W183" s="82">
        <f t="shared" si="46"/>
        <v>1.7279999999999998</v>
      </c>
      <c r="X183" s="82">
        <f t="shared" si="46"/>
        <v>0</v>
      </c>
      <c r="Y183" s="82">
        <f t="shared" si="46"/>
        <v>13.823999999999998</v>
      </c>
    </row>
    <row r="184" spans="1:25" s="45" customFormat="1" ht="22.05" customHeight="1" x14ac:dyDescent="0.3">
      <c r="A184" s="20"/>
      <c r="B184" s="230"/>
      <c r="C184" s="224" t="s">
        <v>115</v>
      </c>
      <c r="D184" s="224"/>
      <c r="E184" s="48">
        <v>28</v>
      </c>
      <c r="F184" s="49">
        <f>F17/100*28</f>
        <v>0.53200000000000003</v>
      </c>
      <c r="G184" s="49">
        <f>G17/100*28</f>
        <v>0.126</v>
      </c>
      <c r="H184" s="49">
        <f>H17/100*28</f>
        <v>7</v>
      </c>
      <c r="I184" s="49">
        <f>I17/100*28</f>
        <v>34.644400000000005</v>
      </c>
      <c r="J184" s="48" t="s">
        <v>60</v>
      </c>
      <c r="K184" s="133">
        <v>2.73</v>
      </c>
      <c r="L184" s="133"/>
      <c r="M184" s="82">
        <f t="shared" ref="M184:Y184" si="47">M17/40*28</f>
        <v>0.11900000000000001</v>
      </c>
      <c r="N184" s="82">
        <f t="shared" si="47"/>
        <v>9.1000000000000011E-2</v>
      </c>
      <c r="O184" s="82">
        <f t="shared" si="47"/>
        <v>0</v>
      </c>
      <c r="P184" s="82">
        <f t="shared" si="47"/>
        <v>1.0640000000000001</v>
      </c>
      <c r="Q184" s="82">
        <f t="shared" si="47"/>
        <v>0.112</v>
      </c>
      <c r="R184" s="82">
        <f t="shared" si="47"/>
        <v>168.83999999999997</v>
      </c>
      <c r="S184" s="82">
        <f t="shared" si="47"/>
        <v>20.439999999999998</v>
      </c>
      <c r="T184" s="82">
        <f t="shared" si="47"/>
        <v>0.33600000000000002</v>
      </c>
      <c r="U184" s="82">
        <f t="shared" si="47"/>
        <v>11.200000000000001</v>
      </c>
      <c r="V184" s="82">
        <f t="shared" si="47"/>
        <v>35</v>
      </c>
      <c r="W184" s="82">
        <f t="shared" si="47"/>
        <v>0.79099999999999993</v>
      </c>
      <c r="X184" s="82">
        <f t="shared" si="47"/>
        <v>0</v>
      </c>
      <c r="Y184" s="82">
        <f t="shared" si="47"/>
        <v>8.6519999999999992</v>
      </c>
    </row>
    <row r="185" spans="1:25" s="19" customFormat="1" ht="22.05" customHeight="1" x14ac:dyDescent="0.3">
      <c r="A185" s="17"/>
      <c r="B185" s="230"/>
      <c r="C185" s="224" t="s">
        <v>8</v>
      </c>
      <c r="D185" s="224"/>
      <c r="E185" s="48">
        <v>200</v>
      </c>
      <c r="F185" s="49">
        <v>3.8</v>
      </c>
      <c r="G185" s="49">
        <v>3.5</v>
      </c>
      <c r="H185" s="49">
        <v>11.1</v>
      </c>
      <c r="I185" s="49">
        <v>90.8</v>
      </c>
      <c r="J185" s="50" t="s">
        <v>7</v>
      </c>
      <c r="K185" s="136">
        <v>12.47</v>
      </c>
      <c r="L185" s="136"/>
      <c r="M185" s="124">
        <v>0.02</v>
      </c>
      <c r="N185" s="124">
        <v>0.11</v>
      </c>
      <c r="O185" s="124">
        <v>12</v>
      </c>
      <c r="P185" s="124">
        <v>0.2</v>
      </c>
      <c r="Q185" s="124">
        <v>0</v>
      </c>
      <c r="R185" s="124">
        <v>51</v>
      </c>
      <c r="S185" s="124">
        <v>221</v>
      </c>
      <c r="T185" s="124">
        <v>112</v>
      </c>
      <c r="U185" s="124">
        <v>30</v>
      </c>
      <c r="V185" s="124">
        <v>107</v>
      </c>
      <c r="W185" s="124">
        <v>1</v>
      </c>
      <c r="X185" s="124">
        <v>9</v>
      </c>
      <c r="Y185" s="124">
        <v>1.8</v>
      </c>
    </row>
    <row r="186" spans="1:25" s="45" customFormat="1" ht="22.05" customHeight="1" x14ac:dyDescent="0.3">
      <c r="A186" s="20"/>
      <c r="B186" s="42"/>
      <c r="C186" s="228" t="s">
        <v>61</v>
      </c>
      <c r="D186" s="228"/>
      <c r="E186" s="44">
        <f>SUM(E181:E185)</f>
        <v>636</v>
      </c>
      <c r="F186" s="55">
        <f>SUM(F181:F185)</f>
        <v>13.122399999999999</v>
      </c>
      <c r="G186" s="55">
        <f>SUM(G181:G185)</f>
        <v>13.123199999999999</v>
      </c>
      <c r="H186" s="55">
        <f>SUM(H181:H185)</f>
        <v>69.012</v>
      </c>
      <c r="I186" s="55">
        <f>SUM(I181:I185)</f>
        <v>462.8300000000001</v>
      </c>
      <c r="J186" s="44"/>
      <c r="K186" s="55" t="e">
        <f>SUM(#REF!)</f>
        <v>#REF!</v>
      </c>
      <c r="L186" s="182"/>
      <c r="M186" s="102">
        <f>SUM(M181:M185)</f>
        <v>0.57580000000000009</v>
      </c>
      <c r="N186" s="102">
        <f t="shared" ref="N186:Y186" si="48">SUM(N181:N185)</f>
        <v>0.56220000000000003</v>
      </c>
      <c r="O186" s="102">
        <f t="shared" si="48"/>
        <v>196</v>
      </c>
      <c r="P186" s="102">
        <f t="shared" si="48"/>
        <v>11.591999999999999</v>
      </c>
      <c r="Q186" s="102">
        <f t="shared" si="48"/>
        <v>42.207999999999998</v>
      </c>
      <c r="R186" s="102">
        <f t="shared" si="48"/>
        <v>882.78</v>
      </c>
      <c r="S186" s="102">
        <f t="shared" si="48"/>
        <v>1877.44</v>
      </c>
      <c r="T186" s="102">
        <f t="shared" si="48"/>
        <v>164.78800000000001</v>
      </c>
      <c r="U186" s="102">
        <f t="shared" si="48"/>
        <v>141.38</v>
      </c>
      <c r="V186" s="102">
        <f t="shared" si="48"/>
        <v>589.52</v>
      </c>
      <c r="W186" s="102">
        <f t="shared" si="48"/>
        <v>10.019</v>
      </c>
      <c r="X186" s="102">
        <f t="shared" si="48"/>
        <v>36.5</v>
      </c>
      <c r="Y186" s="102">
        <f t="shared" si="48"/>
        <v>24.776</v>
      </c>
    </row>
    <row r="187" spans="1:25" ht="22.05" customHeight="1" x14ac:dyDescent="0.3">
      <c r="A187" s="12"/>
      <c r="B187" s="15"/>
      <c r="C187" s="15"/>
      <c r="D187" s="15"/>
      <c r="E187" s="15"/>
      <c r="F187" s="15"/>
      <c r="G187" s="15"/>
      <c r="H187" s="15"/>
      <c r="I187" s="15"/>
      <c r="J187" s="15"/>
      <c r="K187" s="5"/>
      <c r="L187" s="5"/>
    </row>
    <row r="188" spans="1:25" s="19" customFormat="1" ht="21.6" customHeight="1" x14ac:dyDescent="0.3">
      <c r="A188" s="12"/>
      <c r="B188" s="35"/>
      <c r="C188" s="87"/>
      <c r="D188" s="87"/>
      <c r="E188" s="14"/>
      <c r="F188" s="14"/>
      <c r="G188" s="14"/>
      <c r="H188" s="14"/>
      <c r="I188" s="14"/>
      <c r="J188" s="14"/>
      <c r="K188" s="18"/>
      <c r="L188" s="18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</row>
    <row r="189" spans="1:25" s="19" customFormat="1" ht="22.05" customHeight="1" x14ac:dyDescent="0.3">
      <c r="A189" s="17"/>
      <c r="B189" s="225" t="s">
        <v>59</v>
      </c>
      <c r="C189" s="225"/>
      <c r="D189" s="225"/>
      <c r="E189" s="225"/>
      <c r="F189" s="225"/>
      <c r="G189" s="225"/>
      <c r="H189" s="225"/>
      <c r="I189" s="225"/>
      <c r="J189" s="225"/>
      <c r="K189" s="225"/>
      <c r="L189" s="18"/>
      <c r="M189" s="285"/>
      <c r="N189" s="285"/>
      <c r="O189" s="285"/>
      <c r="P189" s="285"/>
      <c r="Q189" s="285"/>
      <c r="R189" s="285"/>
      <c r="S189" s="285"/>
      <c r="T189" s="285"/>
      <c r="U189" s="285"/>
      <c r="V189" s="285"/>
      <c r="W189" s="285"/>
      <c r="X189" s="285"/>
      <c r="Y189" s="285"/>
    </row>
    <row r="190" spans="1:25" s="19" customFormat="1" ht="22.05" customHeight="1" x14ac:dyDescent="0.3">
      <c r="A190" s="17"/>
      <c r="B190" s="231" t="s">
        <v>70</v>
      </c>
      <c r="C190" s="225" t="s">
        <v>1</v>
      </c>
      <c r="D190" s="225"/>
      <c r="E190" s="225" t="s">
        <v>2</v>
      </c>
      <c r="F190" s="225" t="s">
        <v>3</v>
      </c>
      <c r="G190" s="225"/>
      <c r="H190" s="225"/>
      <c r="I190" s="231" t="s">
        <v>142</v>
      </c>
      <c r="J190" s="225" t="s">
        <v>0</v>
      </c>
      <c r="K190" s="269" t="s">
        <v>180</v>
      </c>
      <c r="L190" s="153"/>
      <c r="M190" s="286" t="s">
        <v>156</v>
      </c>
      <c r="N190" s="287"/>
      <c r="O190" s="287"/>
      <c r="P190" s="287"/>
      <c r="Q190" s="287"/>
      <c r="R190" s="287"/>
      <c r="S190" s="287"/>
      <c r="T190" s="287"/>
      <c r="U190" s="287"/>
      <c r="V190" s="287"/>
      <c r="W190" s="287"/>
      <c r="X190" s="287"/>
      <c r="Y190" s="288"/>
    </row>
    <row r="191" spans="1:25" s="19" customFormat="1" ht="42.6" customHeight="1" x14ac:dyDescent="0.3">
      <c r="A191" s="17"/>
      <c r="B191" s="231"/>
      <c r="C191" s="225"/>
      <c r="D191" s="225"/>
      <c r="E191" s="225"/>
      <c r="F191" s="213" t="s">
        <v>139</v>
      </c>
      <c r="G191" s="213" t="s">
        <v>140</v>
      </c>
      <c r="H191" s="213" t="s">
        <v>141</v>
      </c>
      <c r="I191" s="231"/>
      <c r="J191" s="225"/>
      <c r="K191" s="269"/>
      <c r="L191" s="154"/>
      <c r="M191" s="289" t="s">
        <v>176</v>
      </c>
      <c r="N191" s="290"/>
      <c r="O191" s="290"/>
      <c r="P191" s="290"/>
      <c r="Q191" s="290"/>
      <c r="R191" s="290"/>
      <c r="S191" s="290"/>
      <c r="T191" s="290"/>
      <c r="U191" s="290"/>
      <c r="V191" s="290"/>
      <c r="W191" s="290"/>
      <c r="X191" s="290"/>
      <c r="Y191" s="291"/>
    </row>
    <row r="192" spans="1:25" s="19" customFormat="1" ht="22.05" customHeight="1" x14ac:dyDescent="0.3">
      <c r="A192" s="17"/>
      <c r="B192" s="268" t="s">
        <v>84</v>
      </c>
      <c r="C192" s="268"/>
      <c r="D192" s="268"/>
      <c r="E192" s="268"/>
      <c r="F192" s="268"/>
      <c r="G192" s="268"/>
      <c r="H192" s="268"/>
      <c r="I192" s="268"/>
      <c r="J192" s="268"/>
      <c r="K192" s="268"/>
      <c r="L192" s="161"/>
      <c r="M192" s="81" t="s">
        <v>143</v>
      </c>
      <c r="N192" s="81" t="s">
        <v>144</v>
      </c>
      <c r="O192" s="81" t="s">
        <v>145</v>
      </c>
      <c r="P192" s="81" t="s">
        <v>147</v>
      </c>
      <c r="Q192" s="81" t="s">
        <v>146</v>
      </c>
      <c r="R192" s="81" t="s">
        <v>148</v>
      </c>
      <c r="S192" s="81" t="s">
        <v>149</v>
      </c>
      <c r="T192" s="81" t="s">
        <v>150</v>
      </c>
      <c r="U192" s="81" t="s">
        <v>151</v>
      </c>
      <c r="V192" s="81" t="s">
        <v>152</v>
      </c>
      <c r="W192" s="81" t="s">
        <v>153</v>
      </c>
      <c r="X192" s="81" t="s">
        <v>154</v>
      </c>
      <c r="Y192" s="81" t="s">
        <v>155</v>
      </c>
    </row>
    <row r="193" spans="1:25" s="19" customFormat="1" ht="22.05" customHeight="1" x14ac:dyDescent="0.3">
      <c r="A193" s="17"/>
      <c r="B193" s="230" t="s">
        <v>91</v>
      </c>
      <c r="C193" s="224" t="s">
        <v>44</v>
      </c>
      <c r="D193" s="278"/>
      <c r="E193" s="48">
        <v>250</v>
      </c>
      <c r="F193" s="49">
        <v>6.3</v>
      </c>
      <c r="G193" s="49">
        <v>10.199999999999999</v>
      </c>
      <c r="H193" s="49">
        <v>37.9</v>
      </c>
      <c r="I193" s="49">
        <v>269</v>
      </c>
      <c r="J193" s="50">
        <v>121</v>
      </c>
      <c r="K193" s="133">
        <v>23.08</v>
      </c>
      <c r="L193" s="158"/>
      <c r="M193" s="82">
        <v>0.06</v>
      </c>
      <c r="N193" s="82">
        <v>0.18</v>
      </c>
      <c r="O193" s="82">
        <v>78.83</v>
      </c>
      <c r="P193" s="82">
        <v>0</v>
      </c>
      <c r="Q193" s="82">
        <v>0.27</v>
      </c>
      <c r="R193" s="82">
        <v>0</v>
      </c>
      <c r="S193" s="82">
        <v>0</v>
      </c>
      <c r="T193" s="82">
        <v>152.51</v>
      </c>
      <c r="U193" s="82">
        <v>33.93</v>
      </c>
      <c r="V193" s="82">
        <v>153.4</v>
      </c>
      <c r="W193" s="82">
        <v>0.52</v>
      </c>
      <c r="X193" s="82">
        <v>0</v>
      </c>
      <c r="Y193" s="82">
        <v>0</v>
      </c>
    </row>
    <row r="194" spans="1:25" s="19" customFormat="1" ht="24" customHeight="1" x14ac:dyDescent="0.3">
      <c r="A194" s="17"/>
      <c r="B194" s="230"/>
      <c r="C194" s="224" t="s">
        <v>16</v>
      </c>
      <c r="D194" s="224"/>
      <c r="E194" s="48">
        <v>15</v>
      </c>
      <c r="F194" s="49">
        <v>3.51</v>
      </c>
      <c r="G194" s="49">
        <v>4.5</v>
      </c>
      <c r="H194" s="49">
        <v>0</v>
      </c>
      <c r="I194" s="49">
        <v>54.5</v>
      </c>
      <c r="J194" s="50" t="s">
        <v>15</v>
      </c>
      <c r="K194" s="156">
        <v>10.97</v>
      </c>
      <c r="L194" s="150"/>
      <c r="M194" s="82">
        <v>0.01</v>
      </c>
      <c r="N194" s="82">
        <v>0.04</v>
      </c>
      <c r="O194" s="82">
        <v>39</v>
      </c>
      <c r="P194" s="82">
        <v>0.04</v>
      </c>
      <c r="Q194" s="82">
        <v>0</v>
      </c>
      <c r="R194" s="82">
        <v>150</v>
      </c>
      <c r="S194" s="82">
        <v>17</v>
      </c>
      <c r="T194" s="82">
        <v>150</v>
      </c>
      <c r="U194" s="82">
        <v>7</v>
      </c>
      <c r="V194" s="82">
        <v>82</v>
      </c>
      <c r="W194" s="82">
        <v>0</v>
      </c>
      <c r="X194" s="82">
        <v>0</v>
      </c>
      <c r="Y194" s="82">
        <v>0</v>
      </c>
    </row>
    <row r="195" spans="1:25" s="45" customFormat="1" ht="22.05" customHeight="1" x14ac:dyDescent="0.3">
      <c r="A195" s="20"/>
      <c r="B195" s="230"/>
      <c r="C195" s="224" t="s">
        <v>111</v>
      </c>
      <c r="D195" s="224"/>
      <c r="E195" s="48">
        <v>34</v>
      </c>
      <c r="F195" s="49">
        <f>F16/100*34</f>
        <v>1.1831999999999998</v>
      </c>
      <c r="G195" s="49">
        <f>G16/100*34</f>
        <v>0.21760000000000002</v>
      </c>
      <c r="H195" s="49">
        <f>H16/100*34</f>
        <v>7.2759999999999998</v>
      </c>
      <c r="I195" s="49">
        <f>I16/100*34</f>
        <v>45.634799999999998</v>
      </c>
      <c r="J195" s="48" t="s">
        <v>60</v>
      </c>
      <c r="K195" s="133">
        <v>3.27</v>
      </c>
      <c r="L195" s="140"/>
      <c r="M195" s="128">
        <f t="shared" ref="M195:Y195" si="49">M16/40*34</f>
        <v>0.13940000000000002</v>
      </c>
      <c r="N195" s="128">
        <f t="shared" si="49"/>
        <v>8.585000000000001E-2</v>
      </c>
      <c r="O195" s="128">
        <f t="shared" si="49"/>
        <v>0</v>
      </c>
      <c r="P195" s="128">
        <f t="shared" si="49"/>
        <v>1.9040000000000004</v>
      </c>
      <c r="Q195" s="128">
        <f t="shared" si="49"/>
        <v>6.8000000000000005E-2</v>
      </c>
      <c r="R195" s="128">
        <f t="shared" si="49"/>
        <v>160.82</v>
      </c>
      <c r="S195" s="128">
        <f t="shared" si="49"/>
        <v>42.5</v>
      </c>
      <c r="T195" s="128">
        <f t="shared" si="49"/>
        <v>1.6660000000000001</v>
      </c>
      <c r="U195" s="128">
        <f t="shared" si="49"/>
        <v>13.94</v>
      </c>
      <c r="V195" s="128">
        <f t="shared" si="49"/>
        <v>43.86</v>
      </c>
      <c r="W195" s="128">
        <f t="shared" si="49"/>
        <v>1.224</v>
      </c>
      <c r="X195" s="128">
        <f t="shared" si="49"/>
        <v>0</v>
      </c>
      <c r="Y195" s="128">
        <f t="shared" si="49"/>
        <v>9.7919999999999998</v>
      </c>
    </row>
    <row r="196" spans="1:25" s="45" customFormat="1" ht="22.05" customHeight="1" x14ac:dyDescent="0.3">
      <c r="A196" s="20"/>
      <c r="B196" s="230"/>
      <c r="C196" s="224" t="s">
        <v>115</v>
      </c>
      <c r="D196" s="224"/>
      <c r="E196" s="48">
        <v>28</v>
      </c>
      <c r="F196" s="49">
        <f>F17/100*28</f>
        <v>0.53200000000000003</v>
      </c>
      <c r="G196" s="49">
        <f>G17/100*28</f>
        <v>0.126</v>
      </c>
      <c r="H196" s="49">
        <f>H17/100*28</f>
        <v>7</v>
      </c>
      <c r="I196" s="49">
        <f>I17/100*28</f>
        <v>34.644400000000005</v>
      </c>
      <c r="J196" s="48" t="s">
        <v>60</v>
      </c>
      <c r="K196" s="133">
        <v>2.73</v>
      </c>
      <c r="L196" s="140"/>
      <c r="M196" s="128">
        <f t="shared" ref="M196:Y196" si="50">M16/40*28</f>
        <v>0.11480000000000001</v>
      </c>
      <c r="N196" s="128">
        <f t="shared" si="50"/>
        <v>7.0700000000000013E-2</v>
      </c>
      <c r="O196" s="128">
        <f t="shared" si="50"/>
        <v>0</v>
      </c>
      <c r="P196" s="128">
        <f t="shared" si="50"/>
        <v>1.5680000000000003</v>
      </c>
      <c r="Q196" s="128">
        <f t="shared" si="50"/>
        <v>5.6000000000000001E-2</v>
      </c>
      <c r="R196" s="128">
        <f t="shared" si="50"/>
        <v>132.44</v>
      </c>
      <c r="S196" s="128">
        <f t="shared" si="50"/>
        <v>35</v>
      </c>
      <c r="T196" s="128">
        <f t="shared" si="50"/>
        <v>1.3720000000000001</v>
      </c>
      <c r="U196" s="128">
        <f t="shared" si="50"/>
        <v>11.479999999999999</v>
      </c>
      <c r="V196" s="128">
        <f t="shared" si="50"/>
        <v>36.120000000000005</v>
      </c>
      <c r="W196" s="128">
        <f t="shared" si="50"/>
        <v>1.008</v>
      </c>
      <c r="X196" s="128">
        <f t="shared" si="50"/>
        <v>0</v>
      </c>
      <c r="Y196" s="128">
        <f t="shared" si="50"/>
        <v>8.0640000000000001</v>
      </c>
    </row>
    <row r="197" spans="1:25" s="19" customFormat="1" ht="22.05" customHeight="1" x14ac:dyDescent="0.3">
      <c r="A197" s="17"/>
      <c r="B197" s="230"/>
      <c r="C197" s="224" t="s">
        <v>8</v>
      </c>
      <c r="D197" s="224"/>
      <c r="E197" s="48">
        <v>200</v>
      </c>
      <c r="F197" s="49">
        <v>3.8</v>
      </c>
      <c r="G197" s="49">
        <v>3.5</v>
      </c>
      <c r="H197" s="49">
        <v>11.1</v>
      </c>
      <c r="I197" s="49">
        <v>90.8</v>
      </c>
      <c r="J197" s="50" t="s">
        <v>7</v>
      </c>
      <c r="K197" s="156">
        <v>12.47</v>
      </c>
      <c r="L197" s="150"/>
      <c r="M197" s="203">
        <v>0.02</v>
      </c>
      <c r="N197" s="203">
        <v>0.11</v>
      </c>
      <c r="O197" s="203">
        <v>12</v>
      </c>
      <c r="P197" s="203">
        <v>0.2</v>
      </c>
      <c r="Q197" s="203">
        <v>0</v>
      </c>
      <c r="R197" s="203">
        <v>51</v>
      </c>
      <c r="S197" s="203">
        <v>221</v>
      </c>
      <c r="T197" s="203">
        <v>112</v>
      </c>
      <c r="U197" s="203">
        <v>30</v>
      </c>
      <c r="V197" s="203">
        <v>107</v>
      </c>
      <c r="W197" s="203">
        <v>1</v>
      </c>
      <c r="X197" s="203">
        <v>9</v>
      </c>
      <c r="Y197" s="203">
        <v>1.8</v>
      </c>
    </row>
    <row r="198" spans="1:25" s="47" customFormat="1" ht="22.05" customHeight="1" x14ac:dyDescent="0.3">
      <c r="A198" s="46"/>
      <c r="B198" s="230"/>
      <c r="C198" s="294" t="s">
        <v>192</v>
      </c>
      <c r="D198" s="295"/>
      <c r="E198" s="51">
        <v>35</v>
      </c>
      <c r="F198" s="171">
        <v>2.2400000000000002</v>
      </c>
      <c r="G198" s="171">
        <v>12.110000000000001</v>
      </c>
      <c r="H198" s="171">
        <v>19.110000000000003</v>
      </c>
      <c r="I198" s="171">
        <v>191.45</v>
      </c>
      <c r="J198" s="223" t="s">
        <v>60</v>
      </c>
      <c r="K198" s="173">
        <v>30</v>
      </c>
      <c r="L198" s="174"/>
      <c r="M198" s="204">
        <v>7.0000000000000001E-3</v>
      </c>
      <c r="N198" s="204">
        <v>2.0999999999999998E-2</v>
      </c>
      <c r="O198" s="204">
        <v>0</v>
      </c>
      <c r="P198" s="204">
        <v>0.105</v>
      </c>
      <c r="Q198" s="204">
        <v>0</v>
      </c>
      <c r="R198" s="204">
        <v>3.85</v>
      </c>
      <c r="S198" s="204">
        <v>102.55000000000001</v>
      </c>
      <c r="T198" s="204">
        <v>1.75</v>
      </c>
      <c r="U198" s="204">
        <v>3.5</v>
      </c>
      <c r="V198" s="204">
        <v>27.3</v>
      </c>
      <c r="W198" s="204">
        <v>0.48999999999999994</v>
      </c>
      <c r="X198" s="204">
        <v>0</v>
      </c>
      <c r="Y198" s="204">
        <v>0</v>
      </c>
    </row>
    <row r="199" spans="1:25" s="19" customFormat="1" ht="22.05" customHeight="1" x14ac:dyDescent="0.3">
      <c r="A199" s="17"/>
      <c r="B199" s="44"/>
      <c r="C199" s="228" t="s">
        <v>68</v>
      </c>
      <c r="D199" s="276"/>
      <c r="E199" s="44">
        <f>SUM(E193:E198)</f>
        <v>562</v>
      </c>
      <c r="F199" s="55">
        <f>SUM(F193:F198)</f>
        <v>17.565199999999997</v>
      </c>
      <c r="G199" s="55">
        <f>SUM(G193:G198)</f>
        <v>30.653599999999997</v>
      </c>
      <c r="H199" s="55">
        <f>SUM(H193:H198)</f>
        <v>82.38600000000001</v>
      </c>
      <c r="I199" s="55">
        <f>SUM(I193:I198)</f>
        <v>686.02919999999995</v>
      </c>
      <c r="J199" s="44"/>
      <c r="K199" s="55">
        <f>SUM(K193:K198)</f>
        <v>82.52</v>
      </c>
      <c r="L199" s="158"/>
      <c r="M199" s="102">
        <f t="shared" ref="M199:Y199" si="51">SUM(M193:M198)</f>
        <v>0.35120000000000007</v>
      </c>
      <c r="N199" s="102">
        <f t="shared" si="51"/>
        <v>0.50755000000000006</v>
      </c>
      <c r="O199" s="102">
        <f t="shared" si="51"/>
        <v>129.82999999999998</v>
      </c>
      <c r="P199" s="102">
        <f t="shared" si="51"/>
        <v>3.8170000000000006</v>
      </c>
      <c r="Q199" s="102">
        <f t="shared" si="51"/>
        <v>0.39400000000000002</v>
      </c>
      <c r="R199" s="102">
        <f t="shared" si="51"/>
        <v>498.11</v>
      </c>
      <c r="S199" s="102">
        <f t="shared" si="51"/>
        <v>418.05</v>
      </c>
      <c r="T199" s="102">
        <f t="shared" si="51"/>
        <v>419.298</v>
      </c>
      <c r="U199" s="102">
        <f t="shared" si="51"/>
        <v>99.85</v>
      </c>
      <c r="V199" s="102">
        <f t="shared" si="51"/>
        <v>449.68</v>
      </c>
      <c r="W199" s="102">
        <f t="shared" si="51"/>
        <v>4.242</v>
      </c>
      <c r="X199" s="102">
        <f t="shared" si="51"/>
        <v>9</v>
      </c>
      <c r="Y199" s="102">
        <f t="shared" si="51"/>
        <v>19.656000000000002</v>
      </c>
    </row>
    <row r="200" spans="1:25" s="113" customFormat="1" ht="22.05" customHeight="1" x14ac:dyDescent="0.3">
      <c r="A200" s="20"/>
      <c r="B200" s="242" t="s">
        <v>9</v>
      </c>
      <c r="C200" s="224" t="s">
        <v>218</v>
      </c>
      <c r="D200" s="224"/>
      <c r="E200" s="48">
        <v>110</v>
      </c>
      <c r="F200" s="49">
        <v>1.62</v>
      </c>
      <c r="G200" s="49">
        <v>6.3</v>
      </c>
      <c r="H200" s="49">
        <v>7.12</v>
      </c>
      <c r="I200" s="49">
        <v>91.77</v>
      </c>
      <c r="J200" s="50" t="s">
        <v>190</v>
      </c>
      <c r="K200" s="133">
        <v>8.32</v>
      </c>
      <c r="L200" s="133"/>
      <c r="M200" s="112">
        <v>7.0000000000000007E-2</v>
      </c>
      <c r="N200" s="112">
        <v>7.0000000000000007E-2</v>
      </c>
      <c r="O200" s="112">
        <v>175.1</v>
      </c>
      <c r="P200" s="112">
        <v>0.7</v>
      </c>
      <c r="Q200" s="112">
        <v>72</v>
      </c>
      <c r="R200" s="112">
        <v>160</v>
      </c>
      <c r="S200" s="112">
        <v>297</v>
      </c>
      <c r="T200" s="112">
        <v>77</v>
      </c>
      <c r="U200" s="112">
        <v>28</v>
      </c>
      <c r="V200" s="112">
        <v>53</v>
      </c>
      <c r="W200" s="112">
        <v>2</v>
      </c>
      <c r="X200" s="112">
        <v>19.600000000000001</v>
      </c>
      <c r="Y200" s="112">
        <v>0.4</v>
      </c>
    </row>
    <row r="201" spans="1:25" s="113" customFormat="1" ht="22.05" customHeight="1" x14ac:dyDescent="0.3">
      <c r="B201" s="242"/>
      <c r="C201" s="241" t="s">
        <v>29</v>
      </c>
      <c r="D201" s="241"/>
      <c r="E201" s="114">
        <v>200</v>
      </c>
      <c r="F201" s="115">
        <v>4.8</v>
      </c>
      <c r="G201" s="115">
        <v>7</v>
      </c>
      <c r="H201" s="115">
        <v>50.7</v>
      </c>
      <c r="I201" s="115">
        <v>284.7</v>
      </c>
      <c r="J201" s="116" t="s">
        <v>28</v>
      </c>
      <c r="K201" s="137">
        <v>48.79</v>
      </c>
      <c r="L201" s="139"/>
      <c r="M201" s="129">
        <v>0.04</v>
      </c>
      <c r="N201" s="112">
        <v>0.02</v>
      </c>
      <c r="O201" s="112">
        <v>27</v>
      </c>
      <c r="P201" s="112">
        <v>0.9</v>
      </c>
      <c r="Q201" s="112">
        <v>0</v>
      </c>
      <c r="R201" s="112">
        <v>275</v>
      </c>
      <c r="S201" s="112">
        <v>41</v>
      </c>
      <c r="T201" s="112">
        <v>20</v>
      </c>
      <c r="U201" s="112">
        <v>14</v>
      </c>
      <c r="V201" s="112">
        <v>62</v>
      </c>
      <c r="W201" s="112">
        <v>1</v>
      </c>
      <c r="X201" s="112">
        <v>26.7</v>
      </c>
      <c r="Y201" s="112">
        <v>9.6999999999999993</v>
      </c>
    </row>
    <row r="202" spans="1:25" s="113" customFormat="1" ht="30" customHeight="1" x14ac:dyDescent="0.3">
      <c r="B202" s="242"/>
      <c r="C202" s="241" t="s">
        <v>207</v>
      </c>
      <c r="D202" s="241"/>
      <c r="E202" s="114">
        <v>150</v>
      </c>
      <c r="F202" s="115">
        <v>11.1</v>
      </c>
      <c r="G202" s="115">
        <v>3.3</v>
      </c>
      <c r="H202" s="115">
        <v>8.6</v>
      </c>
      <c r="I202" s="115">
        <v>117.73</v>
      </c>
      <c r="J202" s="116" t="s">
        <v>208</v>
      </c>
      <c r="K202" s="137">
        <v>53.46</v>
      </c>
      <c r="L202" s="139"/>
      <c r="M202" s="129">
        <v>0.13</v>
      </c>
      <c r="N202" s="129">
        <v>0.11</v>
      </c>
      <c r="O202" s="129">
        <v>6.13</v>
      </c>
      <c r="P202" s="129">
        <v>5.47</v>
      </c>
      <c r="Q202" s="129">
        <v>0</v>
      </c>
      <c r="R202" s="129">
        <v>305</v>
      </c>
      <c r="S202" s="129">
        <v>288</v>
      </c>
      <c r="T202" s="129">
        <v>47</v>
      </c>
      <c r="U202" s="129">
        <v>69</v>
      </c>
      <c r="V202" s="129">
        <v>164</v>
      </c>
      <c r="W202" s="129">
        <v>1.33</v>
      </c>
      <c r="X202" s="129">
        <v>17</v>
      </c>
      <c r="Y202" s="129">
        <v>18</v>
      </c>
    </row>
    <row r="203" spans="1:25" s="45" customFormat="1" ht="22.05" customHeight="1" x14ac:dyDescent="0.3">
      <c r="A203" s="20"/>
      <c r="B203" s="242"/>
      <c r="C203" s="224" t="s">
        <v>111</v>
      </c>
      <c r="D203" s="224"/>
      <c r="E203" s="48">
        <v>50</v>
      </c>
      <c r="F203" s="49">
        <f>F16/100*50</f>
        <v>1.7399999999999998</v>
      </c>
      <c r="G203" s="49">
        <f>G16/100*50</f>
        <v>0.32</v>
      </c>
      <c r="H203" s="49">
        <f>H16/100*50</f>
        <v>10.7</v>
      </c>
      <c r="I203" s="49">
        <f>I16/100*50</f>
        <v>67.11</v>
      </c>
      <c r="J203" s="48" t="s">
        <v>60</v>
      </c>
      <c r="K203" s="133">
        <v>3.27</v>
      </c>
      <c r="L203" s="140"/>
      <c r="M203" s="128">
        <f t="shared" ref="M203:Y203" si="52">M16/40*50</f>
        <v>0.20500000000000002</v>
      </c>
      <c r="N203" s="128">
        <f t="shared" si="52"/>
        <v>0.12625000000000003</v>
      </c>
      <c r="O203" s="128">
        <f t="shared" si="52"/>
        <v>0</v>
      </c>
      <c r="P203" s="128">
        <f t="shared" si="52"/>
        <v>2.8000000000000003</v>
      </c>
      <c r="Q203" s="128">
        <f t="shared" si="52"/>
        <v>0.1</v>
      </c>
      <c r="R203" s="128">
        <f t="shared" si="52"/>
        <v>236.49999999999997</v>
      </c>
      <c r="S203" s="128">
        <f t="shared" si="52"/>
        <v>62.5</v>
      </c>
      <c r="T203" s="128">
        <f t="shared" si="52"/>
        <v>2.4500000000000002</v>
      </c>
      <c r="U203" s="128">
        <f t="shared" si="52"/>
        <v>20.5</v>
      </c>
      <c r="V203" s="128">
        <f t="shared" si="52"/>
        <v>64.5</v>
      </c>
      <c r="W203" s="128">
        <f t="shared" si="52"/>
        <v>1.7999999999999998</v>
      </c>
      <c r="X203" s="128">
        <f t="shared" si="52"/>
        <v>0</v>
      </c>
      <c r="Y203" s="128">
        <f t="shared" si="52"/>
        <v>14.399999999999999</v>
      </c>
    </row>
    <row r="204" spans="1:25" s="45" customFormat="1" ht="22.05" customHeight="1" x14ac:dyDescent="0.3">
      <c r="A204" s="20"/>
      <c r="B204" s="242"/>
      <c r="C204" s="224" t="s">
        <v>115</v>
      </c>
      <c r="D204" s="224"/>
      <c r="E204" s="48">
        <v>40</v>
      </c>
      <c r="F204" s="49">
        <f>F17/100*40</f>
        <v>0.76</v>
      </c>
      <c r="G204" s="49">
        <f>G17/100*40</f>
        <v>0.18000000000000002</v>
      </c>
      <c r="H204" s="49">
        <f>H17/100*40</f>
        <v>10</v>
      </c>
      <c r="I204" s="49">
        <f>I17/100*40</f>
        <v>49.492000000000004</v>
      </c>
      <c r="J204" s="48" t="s">
        <v>60</v>
      </c>
      <c r="K204" s="133">
        <v>2.73</v>
      </c>
      <c r="L204" s="140"/>
      <c r="M204" s="128">
        <f t="shared" ref="M204:Y204" si="53">M17</f>
        <v>0.17</v>
      </c>
      <c r="N204" s="128">
        <f t="shared" si="53"/>
        <v>0.13</v>
      </c>
      <c r="O204" s="128">
        <f t="shared" si="53"/>
        <v>0</v>
      </c>
      <c r="P204" s="128">
        <f t="shared" si="53"/>
        <v>1.52</v>
      </c>
      <c r="Q204" s="128">
        <f t="shared" si="53"/>
        <v>0.16</v>
      </c>
      <c r="R204" s="128">
        <f t="shared" si="53"/>
        <v>241.2</v>
      </c>
      <c r="S204" s="128">
        <f t="shared" si="53"/>
        <v>29.2</v>
      </c>
      <c r="T204" s="128">
        <f t="shared" si="53"/>
        <v>0.48</v>
      </c>
      <c r="U204" s="128">
        <f t="shared" si="53"/>
        <v>16</v>
      </c>
      <c r="V204" s="128">
        <f t="shared" si="53"/>
        <v>50</v>
      </c>
      <c r="W204" s="128">
        <f t="shared" si="53"/>
        <v>1.1299999999999999</v>
      </c>
      <c r="X204" s="128">
        <f t="shared" si="53"/>
        <v>0</v>
      </c>
      <c r="Y204" s="128">
        <f t="shared" si="53"/>
        <v>12.36</v>
      </c>
    </row>
    <row r="205" spans="1:25" s="45" customFormat="1" ht="22.05" customHeight="1" x14ac:dyDescent="0.3">
      <c r="A205" s="20"/>
      <c r="B205" s="242"/>
      <c r="C205" s="224" t="s">
        <v>187</v>
      </c>
      <c r="D205" s="224"/>
      <c r="E205" s="48">
        <v>200</v>
      </c>
      <c r="F205" s="49">
        <v>0.6</v>
      </c>
      <c r="G205" s="49">
        <v>0</v>
      </c>
      <c r="H205" s="49">
        <v>22.7</v>
      </c>
      <c r="I205" s="49">
        <v>93.2</v>
      </c>
      <c r="J205" s="50" t="s">
        <v>188</v>
      </c>
      <c r="K205" s="133">
        <v>12.67</v>
      </c>
      <c r="L205" s="133"/>
      <c r="M205" s="82">
        <v>0.03</v>
      </c>
      <c r="N205" s="82">
        <v>0.06</v>
      </c>
      <c r="O205" s="82">
        <v>129</v>
      </c>
      <c r="P205" s="82">
        <v>0.9</v>
      </c>
      <c r="Q205" s="82">
        <v>1</v>
      </c>
      <c r="R205" s="82">
        <v>6</v>
      </c>
      <c r="S205" s="82">
        <v>635</v>
      </c>
      <c r="T205" s="82">
        <v>52</v>
      </c>
      <c r="U205" s="82">
        <v>34</v>
      </c>
      <c r="V205" s="82">
        <v>47</v>
      </c>
      <c r="W205" s="82">
        <v>1</v>
      </c>
      <c r="X205" s="82">
        <v>0</v>
      </c>
      <c r="Y205" s="82">
        <v>0</v>
      </c>
    </row>
    <row r="206" spans="1:25" s="47" customFormat="1" ht="22.05" customHeight="1" x14ac:dyDescent="0.3">
      <c r="A206" s="14"/>
      <c r="B206" s="43"/>
      <c r="C206" s="228" t="s">
        <v>61</v>
      </c>
      <c r="D206" s="228"/>
      <c r="E206" s="44">
        <f>SUM(E200:E205)</f>
        <v>750</v>
      </c>
      <c r="F206" s="44">
        <f>SUM(F200:F205)</f>
        <v>20.62</v>
      </c>
      <c r="G206" s="44">
        <f>SUM(G200:G205)</f>
        <v>17.100000000000001</v>
      </c>
      <c r="H206" s="44">
        <f>SUM(H200:H205)</f>
        <v>109.82000000000001</v>
      </c>
      <c r="I206" s="55">
        <f>SUM(I200:I205)</f>
        <v>704.00199999999995</v>
      </c>
      <c r="J206" s="44"/>
      <c r="K206" s="138" t="e">
        <f>SUM(#REF!)</f>
        <v>#REF!</v>
      </c>
      <c r="L206" s="142"/>
      <c r="M206" s="130">
        <f>SUM(M200:M205)</f>
        <v>0.64500000000000013</v>
      </c>
      <c r="N206" s="130">
        <f t="shared" ref="N206:Y206" si="54">SUM(N200:N205)</f>
        <v>0.5162500000000001</v>
      </c>
      <c r="O206" s="130">
        <f t="shared" si="54"/>
        <v>337.23</v>
      </c>
      <c r="P206" s="130">
        <f t="shared" si="54"/>
        <v>12.290000000000001</v>
      </c>
      <c r="Q206" s="130">
        <f t="shared" si="54"/>
        <v>73.259999999999991</v>
      </c>
      <c r="R206" s="130">
        <f t="shared" si="54"/>
        <v>1223.7</v>
      </c>
      <c r="S206" s="130">
        <f t="shared" si="54"/>
        <v>1352.7</v>
      </c>
      <c r="T206" s="130">
        <f t="shared" si="54"/>
        <v>198.92999999999998</v>
      </c>
      <c r="U206" s="130">
        <f t="shared" si="54"/>
        <v>181.5</v>
      </c>
      <c r="V206" s="130">
        <f t="shared" si="54"/>
        <v>440.5</v>
      </c>
      <c r="W206" s="130">
        <f t="shared" si="54"/>
        <v>8.26</v>
      </c>
      <c r="X206" s="130">
        <f t="shared" si="54"/>
        <v>63.3</v>
      </c>
      <c r="Y206" s="130">
        <f t="shared" si="54"/>
        <v>54.86</v>
      </c>
    </row>
    <row r="207" spans="1:25" ht="22.05" customHeight="1" x14ac:dyDescent="0.3">
      <c r="A207" s="12"/>
      <c r="B207" s="35"/>
      <c r="C207" s="87"/>
      <c r="D207" s="87"/>
      <c r="E207" s="14"/>
      <c r="F207" s="36"/>
      <c r="G207" s="36"/>
      <c r="H207" s="36"/>
      <c r="I207" s="36"/>
      <c r="J207" s="14"/>
      <c r="K207" s="159"/>
      <c r="L207" s="159"/>
    </row>
    <row r="208" spans="1:25" ht="22.05" customHeight="1" x14ac:dyDescent="0.3">
      <c r="A208" s="12"/>
      <c r="B208" s="35"/>
      <c r="C208" s="247"/>
      <c r="D208" s="247"/>
      <c r="E208" s="36"/>
      <c r="F208" s="36"/>
      <c r="G208" s="36"/>
      <c r="H208" s="36"/>
      <c r="I208" s="36"/>
      <c r="J208" s="15"/>
      <c r="K208" s="5"/>
      <c r="L208" s="5"/>
    </row>
    <row r="209" spans="1:25" s="25" customFormat="1" ht="22.05" customHeight="1" x14ac:dyDescent="0.3">
      <c r="A209" s="12"/>
      <c r="B209" s="283" t="s">
        <v>38</v>
      </c>
      <c r="C209" s="283"/>
      <c r="D209" s="283"/>
      <c r="E209" s="283"/>
      <c r="F209" s="283"/>
      <c r="G209" s="283"/>
      <c r="H209" s="283"/>
      <c r="I209" s="283"/>
      <c r="J209" s="13"/>
      <c r="K209" s="5"/>
      <c r="L209" s="5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</row>
    <row r="210" spans="1:25" s="25" customFormat="1" ht="22.05" customHeight="1" x14ac:dyDescent="0.3">
      <c r="A210" s="12"/>
      <c r="B210" s="283"/>
      <c r="C210" s="283"/>
      <c r="D210" s="283"/>
      <c r="E210" s="283"/>
      <c r="F210" s="283"/>
      <c r="G210" s="283"/>
      <c r="H210" s="283"/>
      <c r="I210" s="283"/>
      <c r="J210" s="23"/>
      <c r="K210" s="5"/>
      <c r="L210" s="5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</row>
    <row r="211" spans="1:25" s="25" customFormat="1" ht="22.05" customHeight="1" x14ac:dyDescent="0.3">
      <c r="A211" s="12"/>
      <c r="B211" s="283"/>
      <c r="C211" s="283"/>
      <c r="D211" s="283"/>
      <c r="E211" s="283"/>
      <c r="F211" s="283"/>
      <c r="G211" s="283"/>
      <c r="H211" s="283"/>
      <c r="I211" s="283"/>
      <c r="J211" s="24"/>
      <c r="K211" s="5"/>
      <c r="L211" s="5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</row>
    <row r="212" spans="1:25" s="25" customFormat="1" ht="22.05" customHeight="1" x14ac:dyDescent="0.3">
      <c r="A212" s="1"/>
      <c r="B212" s="238"/>
      <c r="C212" s="238"/>
      <c r="D212" s="238"/>
      <c r="E212" s="238"/>
      <c r="F212" s="238"/>
      <c r="G212" s="238"/>
      <c r="H212" s="238"/>
      <c r="I212" s="238"/>
      <c r="J212" s="88"/>
      <c r="K212" s="5"/>
      <c r="L212" s="5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</row>
    <row r="213" spans="1:25" s="25" customFormat="1" ht="22.05" customHeight="1" x14ac:dyDescent="0.3">
      <c r="A213" s="1"/>
      <c r="B213" s="8"/>
      <c r="C213" s="8"/>
      <c r="D213" s="8"/>
      <c r="E213" s="8"/>
      <c r="F213" s="8"/>
      <c r="G213" s="8"/>
      <c r="H213" s="8"/>
      <c r="I213" s="8"/>
      <c r="J213" s="8"/>
      <c r="K213" s="5"/>
      <c r="L213" s="5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</row>
    <row r="214" spans="1:25" s="25" customFormat="1" ht="22.05" customHeight="1" x14ac:dyDescent="0.3">
      <c r="A214" s="1"/>
      <c r="B214" s="239" t="s">
        <v>54</v>
      </c>
      <c r="C214" s="239"/>
      <c r="D214" s="239"/>
      <c r="E214" s="239"/>
      <c r="F214" s="239"/>
      <c r="G214" s="239"/>
      <c r="H214" s="239"/>
      <c r="I214" s="239"/>
      <c r="J214" s="22">
        <v>1</v>
      </c>
      <c r="K214" s="1"/>
      <c r="L214" s="1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</row>
    <row r="215" spans="1:25" s="25" customFormat="1" ht="22.05" customHeight="1" x14ac:dyDescent="0.3">
      <c r="A215" s="1"/>
      <c r="B215" s="240" t="s">
        <v>42</v>
      </c>
      <c r="C215" s="240"/>
      <c r="D215" s="240"/>
      <c r="E215" s="240"/>
      <c r="F215" s="240"/>
      <c r="G215" s="240"/>
      <c r="H215" s="240"/>
      <c r="I215" s="240"/>
      <c r="J215" s="22">
        <v>2</v>
      </c>
      <c r="K215" s="5"/>
      <c r="L215" s="5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</row>
    <row r="216" spans="1:25" s="25" customFormat="1" ht="22.05" customHeight="1" x14ac:dyDescent="0.3">
      <c r="A216" s="1"/>
      <c r="B216" s="240" t="s">
        <v>43</v>
      </c>
      <c r="C216" s="240"/>
      <c r="D216" s="240"/>
      <c r="E216" s="240"/>
      <c r="F216" s="240"/>
      <c r="G216" s="240"/>
      <c r="H216" s="240"/>
      <c r="I216" s="240"/>
      <c r="J216" s="22">
        <v>3</v>
      </c>
      <c r="K216" s="5"/>
      <c r="L216" s="5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</row>
    <row r="217" spans="1:25" s="25" customFormat="1" ht="22.05" customHeight="1" x14ac:dyDescent="0.3">
      <c r="A217" s="1"/>
      <c r="B217" s="236" t="s">
        <v>45</v>
      </c>
      <c r="C217" s="236"/>
      <c r="D217" s="236"/>
      <c r="E217" s="236"/>
      <c r="F217" s="236"/>
      <c r="G217" s="236"/>
      <c r="H217" s="236"/>
      <c r="I217" s="236"/>
      <c r="J217" s="22">
        <v>4</v>
      </c>
      <c r="K217" s="5"/>
      <c r="L217" s="5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</row>
    <row r="218" spans="1:25" s="25" customFormat="1" ht="22.05" customHeight="1" x14ac:dyDescent="0.3">
      <c r="A218" s="1"/>
      <c r="B218" s="8"/>
      <c r="C218" s="8"/>
      <c r="D218" s="8"/>
      <c r="E218" s="8"/>
      <c r="F218" s="8"/>
      <c r="G218" s="8"/>
      <c r="H218" s="8"/>
      <c r="I218" s="8"/>
      <c r="J218" s="8"/>
      <c r="K218" s="5"/>
      <c r="L218" s="5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</row>
    <row r="219" spans="1:25" s="25" customFormat="1" ht="36.75" customHeight="1" x14ac:dyDescent="0.3">
      <c r="A219" s="9"/>
      <c r="B219" s="8"/>
      <c r="C219" s="8"/>
      <c r="D219" s="8"/>
      <c r="E219" s="8"/>
      <c r="F219" s="8"/>
      <c r="G219" s="8"/>
      <c r="H219" s="8"/>
      <c r="I219" s="8"/>
      <c r="J219" s="8"/>
      <c r="K219" s="5"/>
      <c r="L219" s="5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</row>
    <row r="220" spans="1:25" s="25" customFormat="1" ht="21.75" customHeight="1" x14ac:dyDescent="0.3">
      <c r="A220" s="1"/>
      <c r="B220" s="10"/>
      <c r="C220" s="10"/>
      <c r="D220" s="10"/>
      <c r="E220" s="10"/>
      <c r="F220" s="10"/>
      <c r="G220" s="10"/>
      <c r="H220" s="10"/>
      <c r="I220" s="10"/>
      <c r="J220" s="10"/>
      <c r="K220" s="5"/>
      <c r="L220" s="5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</row>
    <row r="221" spans="1:25" s="25" customFormat="1" ht="22.5" customHeight="1" x14ac:dyDescent="0.3">
      <c r="A221" s="1"/>
      <c r="B221" s="10"/>
      <c r="C221" s="10"/>
      <c r="D221" s="10"/>
      <c r="E221" s="10"/>
      <c r="F221" s="10"/>
      <c r="G221" s="10"/>
      <c r="H221" s="10"/>
      <c r="I221" s="10"/>
      <c r="J221" s="10"/>
      <c r="K221" s="5"/>
      <c r="L221" s="5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</row>
    <row r="222" spans="1:25" s="25" customFormat="1" ht="24.75" customHeight="1" x14ac:dyDescent="0.3">
      <c r="A222" s="1"/>
      <c r="B222" s="10"/>
      <c r="C222" s="10"/>
      <c r="D222" s="10"/>
      <c r="E222" s="10"/>
      <c r="F222" s="10"/>
      <c r="G222" s="10"/>
      <c r="H222" s="10"/>
      <c r="I222" s="10"/>
      <c r="J222" s="10"/>
      <c r="K222" s="5"/>
      <c r="L222" s="5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</row>
    <row r="223" spans="1:25" s="25" customFormat="1" ht="25.5" customHeight="1" x14ac:dyDescent="0.3">
      <c r="A223" s="1"/>
      <c r="B223" s="10"/>
      <c r="C223" s="10"/>
      <c r="D223" s="10"/>
      <c r="E223" s="10"/>
      <c r="F223" s="10"/>
      <c r="G223" s="10"/>
      <c r="H223" s="10"/>
      <c r="I223" s="10"/>
      <c r="J223" s="10"/>
      <c r="K223" s="5"/>
      <c r="L223" s="5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</row>
    <row r="224" spans="1:25" s="25" customFormat="1" ht="21" customHeight="1" x14ac:dyDescent="0.3">
      <c r="A224" s="1"/>
      <c r="B224" s="10"/>
      <c r="C224" s="10"/>
      <c r="D224" s="10"/>
      <c r="E224" s="10"/>
      <c r="F224" s="10"/>
      <c r="G224" s="10"/>
      <c r="H224" s="10"/>
      <c r="I224" s="10"/>
      <c r="J224" s="10"/>
      <c r="K224" s="5"/>
      <c r="L224" s="5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</row>
    <row r="225" spans="1:25" s="25" customFormat="1" ht="43.5" customHeight="1" x14ac:dyDescent="0.3">
      <c r="A225" s="1"/>
      <c r="B225" s="10"/>
      <c r="C225" s="10"/>
      <c r="D225" s="10"/>
      <c r="E225" s="10"/>
      <c r="F225" s="10"/>
      <c r="G225" s="10"/>
      <c r="H225" s="10"/>
      <c r="I225" s="10"/>
      <c r="J225" s="10"/>
      <c r="K225" s="5"/>
      <c r="L225" s="5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</row>
    <row r="226" spans="1:25" s="25" customFormat="1" ht="45.75" customHeight="1" x14ac:dyDescent="0.3">
      <c r="A226" s="1"/>
      <c r="B226" s="10"/>
      <c r="C226" s="10"/>
      <c r="D226" s="10"/>
      <c r="E226" s="10"/>
      <c r="F226" s="10"/>
      <c r="G226" s="10"/>
      <c r="H226" s="10"/>
      <c r="I226" s="10"/>
      <c r="J226" s="10"/>
      <c r="K226" s="5"/>
      <c r="L226" s="5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</row>
    <row r="227" spans="1:25" s="25" customFormat="1" ht="61.5" customHeight="1" x14ac:dyDescent="0.3">
      <c r="A227" s="1"/>
      <c r="B227" s="10"/>
      <c r="C227" s="10"/>
      <c r="D227" s="10"/>
      <c r="E227" s="10"/>
      <c r="F227" s="10"/>
      <c r="G227" s="10"/>
      <c r="H227" s="10"/>
      <c r="I227" s="10"/>
      <c r="J227" s="10"/>
      <c r="K227" s="5"/>
      <c r="L227" s="5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</row>
    <row r="228" spans="1:25" s="25" customFormat="1" ht="30.75" customHeight="1" x14ac:dyDescent="0.3">
      <c r="A228" s="1"/>
      <c r="B228" s="10"/>
      <c r="C228" s="10"/>
      <c r="D228" s="10"/>
      <c r="E228" s="10"/>
      <c r="F228" s="10"/>
      <c r="G228" s="10"/>
      <c r="H228" s="10"/>
      <c r="I228" s="10"/>
      <c r="J228" s="10"/>
      <c r="K228" s="5"/>
      <c r="L228" s="5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</row>
    <row r="229" spans="1:25" s="25" customFormat="1" ht="51" customHeight="1" x14ac:dyDescent="0.3">
      <c r="A229" s="1"/>
      <c r="B229" s="10"/>
      <c r="C229" s="10"/>
      <c r="D229" s="10"/>
      <c r="E229" s="10"/>
      <c r="F229" s="10"/>
      <c r="G229" s="10"/>
      <c r="H229" s="10"/>
      <c r="I229" s="10"/>
      <c r="J229" s="10"/>
      <c r="K229" s="5"/>
      <c r="L229" s="5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</row>
    <row r="230" spans="1:25" s="25" customFormat="1" ht="67.5" customHeight="1" x14ac:dyDescent="0.3">
      <c r="A230" s="7"/>
      <c r="B230" s="10"/>
      <c r="C230" s="10"/>
      <c r="D230" s="10"/>
      <c r="E230" s="10"/>
      <c r="F230" s="10"/>
      <c r="G230" s="10"/>
      <c r="H230" s="10"/>
      <c r="I230" s="10"/>
      <c r="J230" s="10"/>
      <c r="K230" s="5"/>
      <c r="L230" s="5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</row>
    <row r="231" spans="1:25" s="25" customFormat="1" ht="17.399999999999999" x14ac:dyDescent="0.3">
      <c r="A231" s="7"/>
      <c r="B231" s="10"/>
      <c r="C231" s="10"/>
      <c r="D231" s="10"/>
      <c r="E231" s="10"/>
      <c r="F231" s="10"/>
      <c r="G231" s="10"/>
      <c r="H231" s="10"/>
      <c r="I231" s="10"/>
      <c r="J231" s="10"/>
      <c r="K231" s="5"/>
      <c r="L231" s="5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</row>
    <row r="232" spans="1:25" s="25" customFormat="1" ht="14.4" x14ac:dyDescent="0.3">
      <c r="A232" s="7"/>
      <c r="B232" s="1"/>
      <c r="C232" s="1"/>
      <c r="D232" s="1"/>
      <c r="E232" s="1"/>
      <c r="F232" s="1"/>
      <c r="G232" s="1"/>
      <c r="H232" s="1"/>
      <c r="I232" s="1"/>
      <c r="J232" s="1"/>
      <c r="K232" s="5"/>
      <c r="L232" s="5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</row>
    <row r="233" spans="1:25" s="25" customFormat="1" ht="14.4" x14ac:dyDescent="0.3">
      <c r="A233" s="7"/>
      <c r="B233" s="1"/>
      <c r="C233" s="1"/>
      <c r="D233" s="1"/>
      <c r="E233" s="1"/>
      <c r="F233" s="1"/>
      <c r="G233" s="1"/>
      <c r="H233" s="1"/>
      <c r="I233" s="1"/>
      <c r="J233" s="1"/>
      <c r="K233" s="5"/>
      <c r="L233" s="5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</row>
    <row r="234" spans="1:25" s="25" customFormat="1" ht="14.4" x14ac:dyDescent="0.3">
      <c r="A234" s="7"/>
      <c r="B234" s="1"/>
      <c r="C234" s="1"/>
      <c r="D234" s="1"/>
      <c r="E234" s="1"/>
      <c r="F234" s="1"/>
      <c r="G234" s="1"/>
      <c r="H234" s="1"/>
      <c r="I234" s="1"/>
      <c r="J234" s="1"/>
      <c r="K234" s="5"/>
      <c r="L234" s="5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</row>
    <row r="235" spans="1:25" s="25" customFormat="1" ht="14.4" x14ac:dyDescent="0.3">
      <c r="A235" s="7"/>
      <c r="B235" s="1"/>
      <c r="C235" s="1"/>
      <c r="D235" s="1"/>
      <c r="E235" s="1"/>
      <c r="F235" s="1"/>
      <c r="G235" s="1"/>
      <c r="H235" s="1"/>
      <c r="I235" s="1"/>
      <c r="J235" s="1"/>
      <c r="K235" s="5"/>
      <c r="L235" s="5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</row>
    <row r="236" spans="1:25" s="25" customFormat="1" ht="14.4" x14ac:dyDescent="0.3">
      <c r="A236" s="7"/>
      <c r="B236" s="1"/>
      <c r="C236" s="1"/>
      <c r="D236" s="1"/>
      <c r="E236" s="1"/>
      <c r="F236" s="1"/>
      <c r="G236" s="1"/>
      <c r="H236" s="1"/>
      <c r="I236" s="1"/>
      <c r="J236" s="1"/>
      <c r="K236" s="5"/>
      <c r="L236" s="5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</row>
    <row r="237" spans="1:25" s="25" customFormat="1" ht="35.25" customHeight="1" x14ac:dyDescent="0.3">
      <c r="A237" s="7"/>
      <c r="B237" s="1"/>
      <c r="C237" s="1"/>
      <c r="D237" s="1"/>
      <c r="E237" s="1"/>
      <c r="F237" s="1"/>
      <c r="G237" s="1"/>
      <c r="H237" s="1"/>
      <c r="I237" s="1"/>
      <c r="J237" s="1"/>
      <c r="K237" s="5"/>
      <c r="L237" s="5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</row>
    <row r="238" spans="1:25" ht="36.75" customHeight="1" x14ac:dyDescent="0.3">
      <c r="A238" s="7"/>
      <c r="K238" s="5"/>
      <c r="L238" s="5"/>
    </row>
    <row r="239" spans="1:25" ht="63.75" customHeight="1" x14ac:dyDescent="0.3">
      <c r="A239" s="7"/>
      <c r="K239" s="5"/>
      <c r="L239" s="5"/>
    </row>
    <row r="240" spans="1:25" ht="42" customHeight="1" x14ac:dyDescent="0.3">
      <c r="K240" s="5"/>
      <c r="L240" s="5"/>
    </row>
    <row r="241" spans="1:25" s="9" customFormat="1" ht="4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1"/>
      <c r="L241" s="11"/>
      <c r="M241" s="110"/>
      <c r="N241" s="110"/>
      <c r="O241" s="110"/>
      <c r="P241" s="110"/>
      <c r="Q241" s="110"/>
      <c r="R241" s="110"/>
      <c r="S241" s="110"/>
      <c r="T241" s="110"/>
      <c r="U241" s="110"/>
      <c r="V241" s="110"/>
      <c r="W241" s="110"/>
      <c r="X241" s="110"/>
      <c r="Y241" s="110"/>
    </row>
    <row r="242" spans="1:25" ht="36" customHeight="1" x14ac:dyDescent="0.3">
      <c r="K242" s="5"/>
      <c r="L242" s="5"/>
    </row>
    <row r="243" spans="1:25" ht="36" customHeight="1" x14ac:dyDescent="0.3">
      <c r="K243" s="5"/>
      <c r="L243" s="5"/>
    </row>
    <row r="244" spans="1:25" ht="34.5" customHeight="1" x14ac:dyDescent="0.3">
      <c r="K244" s="5"/>
      <c r="L244" s="5"/>
    </row>
    <row r="245" spans="1:25" ht="78.75" customHeight="1" x14ac:dyDescent="0.3">
      <c r="K245" s="5"/>
      <c r="L245" s="5"/>
    </row>
    <row r="246" spans="1:25" ht="59.25" customHeight="1" x14ac:dyDescent="0.3">
      <c r="K246" s="5"/>
      <c r="L246" s="5"/>
    </row>
    <row r="247" spans="1:25" ht="31.5" customHeight="1" x14ac:dyDescent="0.3">
      <c r="K247" s="5"/>
      <c r="L247" s="5"/>
    </row>
    <row r="248" spans="1:25" ht="60" customHeight="1" x14ac:dyDescent="0.3">
      <c r="K248" s="5"/>
      <c r="L248" s="5"/>
    </row>
    <row r="249" spans="1:25" s="1" customFormat="1" ht="47.25" customHeight="1" x14ac:dyDescent="0.3">
      <c r="K249" s="5"/>
      <c r="L249" s="5"/>
      <c r="M249" s="108"/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</row>
    <row r="250" spans="1:25" ht="50.25" customHeight="1" x14ac:dyDescent="0.3">
      <c r="K250" s="5"/>
      <c r="L250" s="5"/>
    </row>
    <row r="251" spans="1:25" ht="78.75" customHeight="1" x14ac:dyDescent="0.3">
      <c r="K251" s="5"/>
      <c r="L251" s="5"/>
    </row>
    <row r="252" spans="1:25" ht="15.75" customHeight="1" x14ac:dyDescent="0.3">
      <c r="K252" s="5"/>
      <c r="L252" s="5"/>
    </row>
    <row r="253" spans="1:25" ht="44.25" customHeight="1" x14ac:dyDescent="0.3">
      <c r="K253" s="5"/>
      <c r="L253" s="5"/>
    </row>
    <row r="254" spans="1:25" ht="57.75" customHeight="1" x14ac:dyDescent="0.3">
      <c r="K254" s="5"/>
      <c r="L254" s="5"/>
    </row>
    <row r="255" spans="1:25" ht="52.5" customHeight="1" x14ac:dyDescent="0.3">
      <c r="K255" s="5"/>
      <c r="L255" s="5"/>
    </row>
    <row r="256" spans="1:25" ht="63.75" customHeight="1" x14ac:dyDescent="0.3"/>
    <row r="257" spans="13:25" ht="43.5" customHeight="1" x14ac:dyDescent="0.3"/>
    <row r="258" spans="13:25" s="1" customFormat="1" ht="45.75" customHeight="1" x14ac:dyDescent="0.3">
      <c r="M258" s="108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</row>
    <row r="259" spans="13:25" s="1" customFormat="1" ht="43.5" customHeight="1" x14ac:dyDescent="0.3">
      <c r="M259" s="108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  <c r="X259" s="108"/>
      <c r="Y259" s="108"/>
    </row>
    <row r="260" spans="13:25" s="1" customFormat="1" ht="95.25" customHeight="1" x14ac:dyDescent="0.3">
      <c r="M260" s="108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</row>
    <row r="261" spans="13:25" s="1" customFormat="1" ht="60.75" customHeight="1" x14ac:dyDescent="0.3">
      <c r="M261" s="108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</row>
    <row r="262" spans="13:25" s="1" customFormat="1" ht="69" customHeight="1" x14ac:dyDescent="0.3">
      <c r="M262" s="108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</row>
    <row r="263" spans="13:25" s="1" customFormat="1" ht="72.75" customHeight="1" x14ac:dyDescent="0.3"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</row>
    <row r="264" spans="13:25" s="1" customFormat="1" ht="69" customHeight="1" x14ac:dyDescent="0.3">
      <c r="M264" s="108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</row>
  </sheetData>
  <mergeCells count="290">
    <mergeCell ref="C184:D184"/>
    <mergeCell ref="C185:D185"/>
    <mergeCell ref="B171:K171"/>
    <mergeCell ref="B155:K155"/>
    <mergeCell ref="C139:D139"/>
    <mergeCell ref="I133:I134"/>
    <mergeCell ref="J133:J134"/>
    <mergeCell ref="C146:D146"/>
    <mergeCell ref="C147:D147"/>
    <mergeCell ref="F153:H153"/>
    <mergeCell ref="I153:I154"/>
    <mergeCell ref="E153:E154"/>
    <mergeCell ref="B156:B160"/>
    <mergeCell ref="K153:K154"/>
    <mergeCell ref="B143:B148"/>
    <mergeCell ref="C143:D143"/>
    <mergeCell ref="J153:J154"/>
    <mergeCell ref="B153:B154"/>
    <mergeCell ref="M18:Y18"/>
    <mergeCell ref="M37:Y37"/>
    <mergeCell ref="M55:Y55"/>
    <mergeCell ref="M75:Y75"/>
    <mergeCell ref="M93:Y93"/>
    <mergeCell ref="M112:Y112"/>
    <mergeCell ref="C102:D102"/>
    <mergeCell ref="B115:K115"/>
    <mergeCell ref="B116:B120"/>
    <mergeCell ref="C116:D116"/>
    <mergeCell ref="J113:J114"/>
    <mergeCell ref="B96:K96"/>
    <mergeCell ref="K113:K114"/>
    <mergeCell ref="C83:D83"/>
    <mergeCell ref="B76:B77"/>
    <mergeCell ref="B79:B82"/>
    <mergeCell ref="C43:D43"/>
    <mergeCell ref="B56:B57"/>
    <mergeCell ref="C56:D57"/>
    <mergeCell ref="C119:D119"/>
    <mergeCell ref="C118:D118"/>
    <mergeCell ref="C120:D120"/>
    <mergeCell ref="F94:H94"/>
    <mergeCell ref="I113:I114"/>
    <mergeCell ref="B216:I216"/>
    <mergeCell ref="B217:I217"/>
    <mergeCell ref="C199:D199"/>
    <mergeCell ref="C208:D208"/>
    <mergeCell ref="B209:I211"/>
    <mergeCell ref="B212:I212"/>
    <mergeCell ref="B214:I214"/>
    <mergeCell ref="B215:I215"/>
    <mergeCell ref="B193:B198"/>
    <mergeCell ref="C193:D193"/>
    <mergeCell ref="C197:D197"/>
    <mergeCell ref="C198:D198"/>
    <mergeCell ref="C206:D206"/>
    <mergeCell ref="C194:D194"/>
    <mergeCell ref="C195:D195"/>
    <mergeCell ref="C196:D196"/>
    <mergeCell ref="B200:B205"/>
    <mergeCell ref="C200:D200"/>
    <mergeCell ref="C201:D201"/>
    <mergeCell ref="C202:D202"/>
    <mergeCell ref="C203:D203"/>
    <mergeCell ref="C204:D204"/>
    <mergeCell ref="C205:D205"/>
    <mergeCell ref="B190:B191"/>
    <mergeCell ref="C190:D191"/>
    <mergeCell ref="B172:B173"/>
    <mergeCell ref="C172:D173"/>
    <mergeCell ref="B174:K174"/>
    <mergeCell ref="B189:K189"/>
    <mergeCell ref="C177:D177"/>
    <mergeCell ref="K190:K191"/>
    <mergeCell ref="E190:E191"/>
    <mergeCell ref="C180:D180"/>
    <mergeCell ref="J190:J191"/>
    <mergeCell ref="C176:D176"/>
    <mergeCell ref="C178:D178"/>
    <mergeCell ref="C186:D186"/>
    <mergeCell ref="E172:E173"/>
    <mergeCell ref="K172:K173"/>
    <mergeCell ref="J172:J173"/>
    <mergeCell ref="F172:H172"/>
    <mergeCell ref="I172:I173"/>
    <mergeCell ref="C179:D179"/>
    <mergeCell ref="B181:B185"/>
    <mergeCell ref="C181:D181"/>
    <mergeCell ref="C182:D182"/>
    <mergeCell ref="C183:D183"/>
    <mergeCell ref="C113:D114"/>
    <mergeCell ref="E19:E20"/>
    <mergeCell ref="F19:H19"/>
    <mergeCell ref="I19:I20"/>
    <mergeCell ref="J19:J20"/>
    <mergeCell ref="C133:D134"/>
    <mergeCell ref="E133:E134"/>
    <mergeCell ref="C80:D80"/>
    <mergeCell ref="B78:K78"/>
    <mergeCell ref="C81:D81"/>
    <mergeCell ref="I94:I95"/>
    <mergeCell ref="J94:J95"/>
    <mergeCell ref="C121:D121"/>
    <mergeCell ref="C122:D122"/>
    <mergeCell ref="C123:D123"/>
    <mergeCell ref="C124:D124"/>
    <mergeCell ref="C125:D125"/>
    <mergeCell ref="C126:D126"/>
    <mergeCell ref="C127:D127"/>
    <mergeCell ref="B122:B128"/>
    <mergeCell ref="C90:D90"/>
    <mergeCell ref="E113:E114"/>
    <mergeCell ref="F113:H113"/>
    <mergeCell ref="C128:D128"/>
    <mergeCell ref="G8:J8"/>
    <mergeCell ref="B12:J12"/>
    <mergeCell ref="B13:J13"/>
    <mergeCell ref="B14:J14"/>
    <mergeCell ref="B15:J15"/>
    <mergeCell ref="B1:J1"/>
    <mergeCell ref="B2:J2"/>
    <mergeCell ref="B3:J3"/>
    <mergeCell ref="H5:J5"/>
    <mergeCell ref="G6:J6"/>
    <mergeCell ref="G7:J7"/>
    <mergeCell ref="M191:Y191"/>
    <mergeCell ref="M153:Y153"/>
    <mergeCell ref="M154:Y154"/>
    <mergeCell ref="M172:Y172"/>
    <mergeCell ref="M173:Y173"/>
    <mergeCell ref="M113:Y113"/>
    <mergeCell ref="M114:Y114"/>
    <mergeCell ref="M94:Y94"/>
    <mergeCell ref="M95:Y95"/>
    <mergeCell ref="M189:Y189"/>
    <mergeCell ref="M171:Y171"/>
    <mergeCell ref="M152:Y152"/>
    <mergeCell ref="M132:Y132"/>
    <mergeCell ref="M133:Y133"/>
    <mergeCell ref="M134:Y134"/>
    <mergeCell ref="M56:Y56"/>
    <mergeCell ref="M57:Y57"/>
    <mergeCell ref="M38:Y38"/>
    <mergeCell ref="M39:Y39"/>
    <mergeCell ref="M19:Y19"/>
    <mergeCell ref="M20:Y20"/>
    <mergeCell ref="M76:Y76"/>
    <mergeCell ref="M77:Y77"/>
    <mergeCell ref="M190:Y190"/>
    <mergeCell ref="C19:D20"/>
    <mergeCell ref="K94:K95"/>
    <mergeCell ref="B94:B95"/>
    <mergeCell ref="F76:H76"/>
    <mergeCell ref="I76:I77"/>
    <mergeCell ref="F56:H56"/>
    <mergeCell ref="E38:E39"/>
    <mergeCell ref="F38:H38"/>
    <mergeCell ref="I38:I39"/>
    <mergeCell ref="J38:J39"/>
    <mergeCell ref="J56:J57"/>
    <mergeCell ref="J76:J77"/>
    <mergeCell ref="I56:I57"/>
    <mergeCell ref="K76:K77"/>
    <mergeCell ref="C76:D77"/>
    <mergeCell ref="E76:E77"/>
    <mergeCell ref="E56:E57"/>
    <mergeCell ref="C42:D42"/>
    <mergeCell ref="C65:D65"/>
    <mergeCell ref="C72:D72"/>
    <mergeCell ref="C94:D95"/>
    <mergeCell ref="C25:D25"/>
    <mergeCell ref="B41:B44"/>
    <mergeCell ref="C41:D41"/>
    <mergeCell ref="C109:D109"/>
    <mergeCell ref="E94:E95"/>
    <mergeCell ref="B113:B114"/>
    <mergeCell ref="C79:D79"/>
    <mergeCell ref="B18:K18"/>
    <mergeCell ref="B37:K37"/>
    <mergeCell ref="B55:K55"/>
    <mergeCell ref="B75:K75"/>
    <mergeCell ref="B93:K93"/>
    <mergeCell ref="B112:K112"/>
    <mergeCell ref="K19:K20"/>
    <mergeCell ref="B21:K21"/>
    <mergeCell ref="K38:K39"/>
    <mergeCell ref="B40:K40"/>
    <mergeCell ref="K56:K57"/>
    <mergeCell ref="B58:K58"/>
    <mergeCell ref="B22:B26"/>
    <mergeCell ref="C22:D22"/>
    <mergeCell ref="C23:D23"/>
    <mergeCell ref="C24:D24"/>
    <mergeCell ref="C26:D26"/>
    <mergeCell ref="B19:B20"/>
    <mergeCell ref="B59:B64"/>
    <mergeCell ref="C59:D59"/>
    <mergeCell ref="C27:D27"/>
    <mergeCell ref="B38:B39"/>
    <mergeCell ref="C34:D34"/>
    <mergeCell ref="C38:D39"/>
    <mergeCell ref="B28:B33"/>
    <mergeCell ref="C98:D98"/>
    <mergeCell ref="B97:B101"/>
    <mergeCell ref="C97:D97"/>
    <mergeCell ref="C54:D54"/>
    <mergeCell ref="C52:D52"/>
    <mergeCell ref="C60:D60"/>
    <mergeCell ref="C61:D61"/>
    <mergeCell ref="C63:D63"/>
    <mergeCell ref="C62:D62"/>
    <mergeCell ref="C64:D64"/>
    <mergeCell ref="B66:B71"/>
    <mergeCell ref="C66:D66"/>
    <mergeCell ref="C67:D67"/>
    <mergeCell ref="C68:D68"/>
    <mergeCell ref="C69:D69"/>
    <mergeCell ref="C70:D70"/>
    <mergeCell ref="C71:D71"/>
    <mergeCell ref="C82:D82"/>
    <mergeCell ref="C28:D28"/>
    <mergeCell ref="C167:D167"/>
    <mergeCell ref="B192:K192"/>
    <mergeCell ref="F190:H190"/>
    <mergeCell ref="I190:I191"/>
    <mergeCell ref="C117:D117"/>
    <mergeCell ref="C137:D137"/>
    <mergeCell ref="C138:D138"/>
    <mergeCell ref="C140:D140"/>
    <mergeCell ref="C175:D175"/>
    <mergeCell ref="B175:B179"/>
    <mergeCell ref="C149:D149"/>
    <mergeCell ref="C160:D160"/>
    <mergeCell ref="B162:B167"/>
    <mergeCell ref="C162:D162"/>
    <mergeCell ref="C163:D163"/>
    <mergeCell ref="C164:D164"/>
    <mergeCell ref="C165:D165"/>
    <mergeCell ref="C166:D166"/>
    <mergeCell ref="C168:D168"/>
    <mergeCell ref="C129:D129"/>
    <mergeCell ref="C153:D154"/>
    <mergeCell ref="C161:D161"/>
    <mergeCell ref="C157:D157"/>
    <mergeCell ref="B152:K152"/>
    <mergeCell ref="C29:D29"/>
    <mergeCell ref="C30:D30"/>
    <mergeCell ref="C31:D31"/>
    <mergeCell ref="C32:D32"/>
    <mergeCell ref="C33:D33"/>
    <mergeCell ref="C44:D44"/>
    <mergeCell ref="B46:B51"/>
    <mergeCell ref="C46:D46"/>
    <mergeCell ref="C47:D47"/>
    <mergeCell ref="C48:D48"/>
    <mergeCell ref="C49:D49"/>
    <mergeCell ref="C50:D50"/>
    <mergeCell ref="C51:D51"/>
    <mergeCell ref="C45:D45"/>
    <mergeCell ref="B84:B89"/>
    <mergeCell ref="C84:D84"/>
    <mergeCell ref="C85:D85"/>
    <mergeCell ref="C86:D86"/>
    <mergeCell ref="C87:D87"/>
    <mergeCell ref="C88:D88"/>
    <mergeCell ref="C89:D89"/>
    <mergeCell ref="C101:D101"/>
    <mergeCell ref="B103:B108"/>
    <mergeCell ref="C103:D103"/>
    <mergeCell ref="C104:D104"/>
    <mergeCell ref="C105:D105"/>
    <mergeCell ref="C106:D106"/>
    <mergeCell ref="C107:D107"/>
    <mergeCell ref="C108:D108"/>
    <mergeCell ref="C100:D100"/>
    <mergeCell ref="C99:D99"/>
    <mergeCell ref="C144:D144"/>
    <mergeCell ref="C145:D145"/>
    <mergeCell ref="B132:K132"/>
    <mergeCell ref="B135:K135"/>
    <mergeCell ref="K133:K134"/>
    <mergeCell ref="C141:D141"/>
    <mergeCell ref="C156:D156"/>
    <mergeCell ref="C159:D159"/>
    <mergeCell ref="C158:D158"/>
    <mergeCell ref="B133:B134"/>
    <mergeCell ref="B136:B141"/>
    <mergeCell ref="C136:D136"/>
    <mergeCell ref="C142:D142"/>
    <mergeCell ref="F133:H133"/>
    <mergeCell ref="C148:D148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rowBreaks count="8" manualBreakCount="8">
    <brk id="16" max="16383" man="1"/>
    <brk id="53" max="16383" man="1"/>
    <brk id="73" max="16383" man="1"/>
    <brk id="150" max="16383" man="1"/>
    <brk id="169" max="16383" man="1"/>
    <brk id="187" max="16383" man="1"/>
    <brk id="207" max="23" man="1"/>
    <brk id="227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opLeftCell="A7" workbookViewId="0">
      <selection activeCell="B27" sqref="B27"/>
    </sheetView>
  </sheetViews>
  <sheetFormatPr defaultRowHeight="14.4" x14ac:dyDescent="0.3"/>
  <cols>
    <col min="1" max="1" width="34.33203125" customWidth="1"/>
    <col min="2" max="2" width="33.5546875" customWidth="1"/>
    <col min="3" max="3" width="36.44140625" customWidth="1"/>
    <col min="4" max="4" width="30.44140625" customWidth="1"/>
    <col min="5" max="5" width="34.33203125" customWidth="1"/>
  </cols>
  <sheetData>
    <row r="1" spans="1:5" ht="18" x14ac:dyDescent="0.35">
      <c r="A1" s="73" t="s">
        <v>85</v>
      </c>
      <c r="B1" s="73" t="s">
        <v>73</v>
      </c>
      <c r="C1" s="73" t="s">
        <v>86</v>
      </c>
      <c r="D1" s="73" t="s">
        <v>74</v>
      </c>
      <c r="E1" s="73" t="s">
        <v>101</v>
      </c>
    </row>
    <row r="2" spans="1:5" ht="18" x14ac:dyDescent="0.35">
      <c r="A2" s="74" t="s">
        <v>4</v>
      </c>
      <c r="B2" s="74" t="s">
        <v>4</v>
      </c>
      <c r="C2" s="74" t="s">
        <v>4</v>
      </c>
      <c r="D2" s="74" t="s">
        <v>4</v>
      </c>
      <c r="E2" s="74" t="s">
        <v>4</v>
      </c>
    </row>
    <row r="3" spans="1:5" ht="15.6" x14ac:dyDescent="0.3">
      <c r="A3" s="76" t="s">
        <v>106</v>
      </c>
      <c r="B3" s="76" t="s">
        <v>35</v>
      </c>
      <c r="C3" s="76" t="s">
        <v>120</v>
      </c>
      <c r="D3" s="76" t="s">
        <v>67</v>
      </c>
      <c r="E3" s="76" t="s">
        <v>14</v>
      </c>
    </row>
    <row r="4" spans="1:5" ht="15.6" x14ac:dyDescent="0.3">
      <c r="A4" s="76" t="s">
        <v>24</v>
      </c>
      <c r="B4" s="76" t="s">
        <v>24</v>
      </c>
      <c r="C4" s="76" t="s">
        <v>119</v>
      </c>
      <c r="D4" s="76" t="s">
        <v>53</v>
      </c>
      <c r="E4" s="76" t="s">
        <v>24</v>
      </c>
    </row>
    <row r="5" spans="1:5" ht="15.6" x14ac:dyDescent="0.3">
      <c r="A5" s="76" t="s">
        <v>107</v>
      </c>
      <c r="B5" s="76" t="s">
        <v>111</v>
      </c>
      <c r="C5" s="76" t="s">
        <v>111</v>
      </c>
      <c r="D5" s="76" t="s">
        <v>111</v>
      </c>
      <c r="E5" s="76" t="s">
        <v>119</v>
      </c>
    </row>
    <row r="6" spans="1:5" ht="15.6" x14ac:dyDescent="0.3">
      <c r="A6" s="76" t="s">
        <v>108</v>
      </c>
      <c r="B6" s="76" t="s">
        <v>115</v>
      </c>
      <c r="C6" s="76" t="s">
        <v>115</v>
      </c>
      <c r="D6" s="76" t="s">
        <v>115</v>
      </c>
      <c r="E6" s="76" t="s">
        <v>111</v>
      </c>
    </row>
    <row r="7" spans="1:5" ht="15.6" x14ac:dyDescent="0.3">
      <c r="A7" s="76" t="s">
        <v>112</v>
      </c>
      <c r="B7" s="76" t="s">
        <v>12</v>
      </c>
      <c r="C7" s="76" t="s">
        <v>121</v>
      </c>
      <c r="D7" s="76" t="s">
        <v>121</v>
      </c>
      <c r="E7" s="76" t="s">
        <v>126</v>
      </c>
    </row>
    <row r="8" spans="1:5" ht="15.6" x14ac:dyDescent="0.3">
      <c r="A8" s="76" t="s">
        <v>109</v>
      </c>
      <c r="B8" s="76" t="s">
        <v>114</v>
      </c>
      <c r="C8" s="76" t="s">
        <v>88</v>
      </c>
      <c r="D8" s="76"/>
      <c r="E8" s="76" t="s">
        <v>63</v>
      </c>
    </row>
    <row r="9" spans="1:5" ht="18" x14ac:dyDescent="0.35">
      <c r="A9" s="74" t="s">
        <v>9</v>
      </c>
      <c r="B9" s="74" t="s">
        <v>9</v>
      </c>
      <c r="C9" s="74" t="s">
        <v>9</v>
      </c>
      <c r="D9" s="74" t="s">
        <v>9</v>
      </c>
      <c r="E9" s="74" t="s">
        <v>9</v>
      </c>
    </row>
    <row r="10" spans="1:5" ht="31.2" x14ac:dyDescent="0.3">
      <c r="A10" s="76" t="s">
        <v>69</v>
      </c>
      <c r="B10" s="76" t="s">
        <v>116</v>
      </c>
      <c r="C10" s="76" t="s">
        <v>122</v>
      </c>
      <c r="D10" s="76" t="s">
        <v>127</v>
      </c>
      <c r="E10" s="78" t="s">
        <v>130</v>
      </c>
    </row>
    <row r="11" spans="1:5" ht="31.2" x14ac:dyDescent="0.3">
      <c r="A11" s="76" t="s">
        <v>110</v>
      </c>
      <c r="B11" s="76" t="s">
        <v>33</v>
      </c>
      <c r="C11" s="76" t="s">
        <v>123</v>
      </c>
      <c r="D11" s="76" t="s">
        <v>128</v>
      </c>
      <c r="E11" s="78" t="s">
        <v>26</v>
      </c>
    </row>
    <row r="12" spans="1:5" ht="15.6" x14ac:dyDescent="0.3">
      <c r="A12" s="76" t="s">
        <v>111</v>
      </c>
      <c r="B12" s="76" t="s">
        <v>117</v>
      </c>
      <c r="C12" s="76" t="s">
        <v>29</v>
      </c>
      <c r="D12" s="76" t="s">
        <v>30</v>
      </c>
      <c r="E12" s="76" t="s">
        <v>111</v>
      </c>
    </row>
    <row r="13" spans="1:5" ht="15.6" x14ac:dyDescent="0.3">
      <c r="A13" s="76" t="s">
        <v>108</v>
      </c>
      <c r="B13" s="76" t="s">
        <v>111</v>
      </c>
      <c r="C13" s="76" t="s">
        <v>124</v>
      </c>
      <c r="D13" s="76" t="s">
        <v>129</v>
      </c>
      <c r="E13" s="76" t="s">
        <v>115</v>
      </c>
    </row>
    <row r="14" spans="1:5" ht="15.6" x14ac:dyDescent="0.3">
      <c r="A14" s="76" t="s">
        <v>113</v>
      </c>
      <c r="B14" s="76" t="s">
        <v>108</v>
      </c>
      <c r="C14" s="76" t="s">
        <v>111</v>
      </c>
      <c r="D14" s="76" t="s">
        <v>111</v>
      </c>
      <c r="E14" s="76" t="s">
        <v>12</v>
      </c>
    </row>
    <row r="15" spans="1:5" ht="15.6" x14ac:dyDescent="0.3">
      <c r="A15" s="76" t="s">
        <v>114</v>
      </c>
      <c r="B15" s="76" t="s">
        <v>118</v>
      </c>
      <c r="C15" s="76" t="s">
        <v>115</v>
      </c>
      <c r="D15" s="76" t="s">
        <v>115</v>
      </c>
      <c r="E15" s="76" t="s">
        <v>114</v>
      </c>
    </row>
    <row r="16" spans="1:5" ht="15.6" x14ac:dyDescent="0.3">
      <c r="A16" s="76"/>
      <c r="B16" s="76"/>
      <c r="C16" s="76" t="s">
        <v>125</v>
      </c>
      <c r="D16" s="76" t="s">
        <v>112</v>
      </c>
      <c r="E16" s="76"/>
    </row>
    <row r="17" spans="1:6" s="71" customFormat="1" ht="15.6" x14ac:dyDescent="0.3">
      <c r="A17" s="77"/>
      <c r="B17" s="77"/>
      <c r="C17" s="77"/>
      <c r="D17" s="77"/>
      <c r="E17" s="77"/>
    </row>
    <row r="18" spans="1:6" s="71" customFormat="1" ht="18" x14ac:dyDescent="0.35">
      <c r="A18" s="73" t="s">
        <v>90</v>
      </c>
      <c r="B18" s="73" t="s">
        <v>76</v>
      </c>
      <c r="C18" s="73" t="s">
        <v>80</v>
      </c>
      <c r="D18" s="73" t="s">
        <v>81</v>
      </c>
      <c r="E18" s="73" t="s">
        <v>84</v>
      </c>
    </row>
    <row r="19" spans="1:6" ht="18" x14ac:dyDescent="0.35">
      <c r="A19" s="74" t="s">
        <v>4</v>
      </c>
      <c r="B19" s="74" t="s">
        <v>4</v>
      </c>
      <c r="C19" s="74" t="s">
        <v>4</v>
      </c>
      <c r="D19" s="74" t="s">
        <v>4</v>
      </c>
      <c r="E19" s="75" t="s">
        <v>4</v>
      </c>
      <c r="F19" s="72"/>
    </row>
    <row r="20" spans="1:6" ht="15.6" x14ac:dyDescent="0.3">
      <c r="A20" s="76" t="s">
        <v>131</v>
      </c>
      <c r="B20" s="76" t="s">
        <v>132</v>
      </c>
      <c r="C20" s="76" t="s">
        <v>134</v>
      </c>
      <c r="D20" s="76" t="s">
        <v>92</v>
      </c>
      <c r="E20" s="76" t="s">
        <v>136</v>
      </c>
    </row>
    <row r="21" spans="1:6" ht="15.6" x14ac:dyDescent="0.3">
      <c r="A21" s="76" t="s">
        <v>119</v>
      </c>
      <c r="B21" s="76" t="s">
        <v>53</v>
      </c>
      <c r="C21" s="76" t="s">
        <v>49</v>
      </c>
      <c r="D21" s="76" t="s">
        <v>112</v>
      </c>
      <c r="E21" s="76" t="s">
        <v>111</v>
      </c>
    </row>
    <row r="22" spans="1:6" ht="15.6" x14ac:dyDescent="0.3">
      <c r="A22" s="76" t="s">
        <v>111</v>
      </c>
      <c r="B22" s="76" t="s">
        <v>111</v>
      </c>
      <c r="C22" s="76" t="s">
        <v>126</v>
      </c>
      <c r="D22" s="76" t="s">
        <v>114</v>
      </c>
      <c r="E22" s="76" t="s">
        <v>115</v>
      </c>
    </row>
    <row r="23" spans="1:6" ht="15.6" x14ac:dyDescent="0.3">
      <c r="A23" s="76" t="s">
        <v>115</v>
      </c>
      <c r="B23" s="76" t="s">
        <v>115</v>
      </c>
      <c r="C23" s="76" t="s">
        <v>135</v>
      </c>
      <c r="D23" s="76"/>
      <c r="E23" s="76" t="s">
        <v>12</v>
      </c>
    </row>
    <row r="24" spans="1:6" ht="15.6" x14ac:dyDescent="0.3">
      <c r="A24" s="76" t="s">
        <v>121</v>
      </c>
      <c r="B24" s="76" t="s">
        <v>12</v>
      </c>
      <c r="C24" s="76"/>
      <c r="D24" s="76"/>
      <c r="E24" s="76" t="s">
        <v>137</v>
      </c>
    </row>
    <row r="25" spans="1:6" ht="15.6" x14ac:dyDescent="0.3">
      <c r="A25" s="76" t="s">
        <v>114</v>
      </c>
      <c r="B25" s="76" t="s">
        <v>133</v>
      </c>
      <c r="C25" s="76"/>
      <c r="D25" s="76"/>
      <c r="E25" s="76"/>
    </row>
    <row r="26" spans="1:6" ht="18" x14ac:dyDescent="0.35">
      <c r="A26" s="74" t="s">
        <v>9</v>
      </c>
      <c r="B26" s="74" t="s">
        <v>9</v>
      </c>
      <c r="C26" s="74" t="s">
        <v>9</v>
      </c>
      <c r="D26" s="74" t="s">
        <v>9</v>
      </c>
      <c r="E26" s="74" t="s">
        <v>9</v>
      </c>
    </row>
    <row r="27" spans="1:6" ht="31.2" x14ac:dyDescent="0.3">
      <c r="A27" s="76" t="s">
        <v>29</v>
      </c>
      <c r="B27" s="78" t="s">
        <v>77</v>
      </c>
      <c r="C27" s="76" t="s">
        <v>55</v>
      </c>
      <c r="D27" s="76" t="s">
        <v>82</v>
      </c>
      <c r="E27" s="76" t="s">
        <v>52</v>
      </c>
    </row>
    <row r="28" spans="1:6" ht="15.6" x14ac:dyDescent="0.3">
      <c r="A28" s="76" t="s">
        <v>46</v>
      </c>
      <c r="B28" s="76" t="s">
        <v>78</v>
      </c>
      <c r="C28" s="76" t="s">
        <v>50</v>
      </c>
      <c r="D28" s="76" t="s">
        <v>20</v>
      </c>
      <c r="E28" s="76" t="s">
        <v>128</v>
      </c>
    </row>
    <row r="29" spans="1:6" ht="15.6" x14ac:dyDescent="0.3">
      <c r="A29" s="76" t="s">
        <v>107</v>
      </c>
      <c r="B29" s="76" t="s">
        <v>111</v>
      </c>
      <c r="C29" s="76" t="s">
        <v>33</v>
      </c>
      <c r="D29" s="76" t="s">
        <v>83</v>
      </c>
      <c r="E29" s="76" t="s">
        <v>46</v>
      </c>
    </row>
    <row r="30" spans="1:6" ht="15.6" x14ac:dyDescent="0.3">
      <c r="A30" s="76" t="s">
        <v>115</v>
      </c>
      <c r="B30" s="76" t="s">
        <v>115</v>
      </c>
      <c r="C30" s="76" t="s">
        <v>64</v>
      </c>
      <c r="D30" s="76" t="s">
        <v>111</v>
      </c>
      <c r="E30" s="76" t="s">
        <v>107</v>
      </c>
    </row>
    <row r="31" spans="1:6" ht="15.6" x14ac:dyDescent="0.3">
      <c r="A31" s="76" t="s">
        <v>75</v>
      </c>
      <c r="B31" s="76" t="s">
        <v>56</v>
      </c>
      <c r="C31" s="76" t="s">
        <v>129</v>
      </c>
      <c r="D31" s="76" t="s">
        <v>115</v>
      </c>
      <c r="E31" s="76" t="s">
        <v>115</v>
      </c>
    </row>
    <row r="32" spans="1:6" ht="15.6" x14ac:dyDescent="0.3">
      <c r="A32" s="76" t="s">
        <v>63</v>
      </c>
      <c r="B32" s="76"/>
      <c r="C32" s="76" t="s">
        <v>111</v>
      </c>
      <c r="D32" s="76" t="s">
        <v>112</v>
      </c>
      <c r="E32" s="76" t="s">
        <v>112</v>
      </c>
    </row>
    <row r="33" spans="1:5" ht="15.6" x14ac:dyDescent="0.3">
      <c r="A33" s="76"/>
      <c r="B33" s="76"/>
      <c r="C33" s="76" t="s">
        <v>115</v>
      </c>
      <c r="D33" s="76"/>
      <c r="E33" s="76"/>
    </row>
    <row r="34" spans="1:5" ht="15.6" x14ac:dyDescent="0.3">
      <c r="A34" s="76"/>
      <c r="B34" s="76"/>
      <c r="C34" s="76" t="s">
        <v>121</v>
      </c>
      <c r="D34" s="76"/>
      <c r="E34" s="76"/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1-4 кл</vt:lpstr>
      <vt:lpstr>5-11 кл</vt:lpstr>
      <vt:lpstr>ОВЗ и Д-И 7-10</vt:lpstr>
      <vt:lpstr>ОВЗ и Д-И 12-18</vt:lpstr>
      <vt:lpstr>Лист1</vt:lpstr>
      <vt:lpstr>Лист2</vt:lpstr>
      <vt:lpstr>Лист3</vt:lpstr>
      <vt:lpstr>Лист4</vt:lpstr>
      <vt:lpstr>'1-4 кл'!Область_печати</vt:lpstr>
      <vt:lpstr>'5-11 кл'!Область_печати</vt:lpstr>
      <vt:lpstr>'ОВЗ и Д-И 12-18'!Область_печати</vt:lpstr>
      <vt:lpstr>'ОВЗ и Д-И 7-10'!Область_печати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РМУ</dc:creator>
  <cp:lastModifiedBy>РМУ</cp:lastModifiedBy>
  <cp:lastPrinted>2025-03-06T04:58:59Z</cp:lastPrinted>
  <dcterms:created xsi:type="dcterms:W3CDTF">2023-07-31T02:03:00Z</dcterms:created>
  <dcterms:modified xsi:type="dcterms:W3CDTF">2025-03-07T01:22:09Z</dcterms:modified>
</cp:coreProperties>
</file>